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<sst xmlns="http://schemas.openxmlformats.org/spreadsheetml/2006/main" count="9" uniqueCount="9">
  <si>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附件1:2023年度凤阳县事业单位公开招聘工作人员资格复审人员名单</t>
  </si>
  <si>
    <t>序号</t>
  </si>
  <si>
    <t>岗位代码</t>
  </si>
  <si>
    <t>姓名</t>
  </si>
  <si>
    <t>准考证号</t>
  </si>
  <si>
    <t>职业能力倾向测验</t>
  </si>
  <si>
    <t>综合应用能力</t>
  </si>
  <si>
    <t>笔试成绩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</si>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</sst>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7" fillId="0" borderId="10" xfId="58" applyNumberFormat="1" applyFont="1" applyBorder="1" applyAlignment="1">
      <alignment horizontal="center" vertical="center"/>
      <protection/>
    </xf>
    <xf numFmtId="176" fontId="7" fillId="0" borderId="10" xfId="65" applyNumberFormat="1" applyFont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176" fontId="7" fillId="0" borderId="10" xfId="64" applyNumberFormat="1" applyFont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workbookViewId="0" topLeftCell="A1">
      <selection activeCell="K4" sqref="K4:K5"/>
    </sheetView>
  </sheetViews>
  <sheetFormatPr defaultColWidth="9.00390625" defaultRowHeight="15"/>
  <cols>
    <col min="1" max="1" width="6.00390625" style="3" customWidth="1"/>
    <col min="2" max="2" width="12.7109375" style="4" customWidth="1"/>
    <col min="3" max="3" width="9.00390625" style="3" customWidth="1"/>
    <col min="4" max="4" width="13.8515625" style="3" bestFit="1" customWidth="1"/>
    <col min="5" max="5" width="14.57421875" style="5" customWidth="1"/>
    <col min="6" max="6" width="14.28125" style="6" bestFit="1" customWidth="1"/>
    <col min="7" max="7" width="9.7109375" style="3" customWidth="1"/>
    <col min="8" max="16384" width="9.00390625" style="3" customWidth="1"/>
  </cols>
  <sheetData>
    <row r="1" spans="1:8" ht="21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18.75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12" t="s">
        <v>8</v>
      </c>
    </row>
    <row r="3" spans="1:8" s="1" customFormat="1" ht="18.75">
      <c r="A3" s="13">
        <v>1</v>
      </c>
      <c r="B3" s="14" t="str">
        <f>"202301001"</f>
        <v>202301001</v>
      </c>
      <c r="C3" s="15" t="str">
        <f>"陈枫"</f>
        <v>陈枫</v>
      </c>
      <c r="D3" s="15" t="str">
        <f>"202305070107"</f>
        <v>202305070107</v>
      </c>
      <c r="E3" s="16">
        <v>104.1</v>
      </c>
      <c r="F3" s="17">
        <v>107</v>
      </c>
      <c r="G3" s="13">
        <f aca="true" t="shared" si="0" ref="G3:G53">SUM(E3:F3)</f>
        <v>211.1</v>
      </c>
      <c r="H3" s="13"/>
    </row>
    <row r="4" spans="1:8" s="1" customFormat="1" ht="18.75">
      <c r="A4" s="13">
        <v>2</v>
      </c>
      <c r="B4" s="14" t="str">
        <f>"202301001"</f>
        <v>202301001</v>
      </c>
      <c r="C4" s="15" t="str">
        <f>"罗小薇"</f>
        <v>罗小薇</v>
      </c>
      <c r="D4" s="15" t="str">
        <f>"202305070106"</f>
        <v>202305070106</v>
      </c>
      <c r="E4" s="16">
        <v>92.1</v>
      </c>
      <c r="F4" s="17">
        <v>114</v>
      </c>
      <c r="G4" s="13">
        <f t="shared" si="0"/>
        <v>206.1</v>
      </c>
      <c r="H4" s="13"/>
    </row>
    <row r="5" spans="1:8" s="1" customFormat="1" ht="18.75">
      <c r="A5" s="13">
        <v>3</v>
      </c>
      <c r="B5" s="14" t="str">
        <f>"202301001"</f>
        <v>202301001</v>
      </c>
      <c r="C5" s="15" t="str">
        <f>"袁磊"</f>
        <v>袁磊</v>
      </c>
      <c r="D5" s="15" t="str">
        <f>"202305070111"</f>
        <v>202305070111</v>
      </c>
      <c r="E5" s="16">
        <v>98.3</v>
      </c>
      <c r="F5" s="17">
        <v>104.5</v>
      </c>
      <c r="G5" s="13">
        <f t="shared" si="0"/>
        <v>202.8</v>
      </c>
      <c r="H5" s="13"/>
    </row>
    <row r="6" spans="1:8" ht="18.75">
      <c r="A6" s="13">
        <v>4</v>
      </c>
      <c r="B6" s="9" t="str">
        <f>"202301002"</f>
        <v>202301002</v>
      </c>
      <c r="C6" s="8" t="str">
        <f>"孙雅馨"</f>
        <v>孙雅馨</v>
      </c>
      <c r="D6" s="8" t="str">
        <f>"202305070209"</f>
        <v>202305070209</v>
      </c>
      <c r="E6" s="16">
        <v>105</v>
      </c>
      <c r="F6" s="17">
        <v>116</v>
      </c>
      <c r="G6" s="12">
        <f t="shared" si="0"/>
        <v>221</v>
      </c>
      <c r="H6" s="12"/>
    </row>
    <row r="7" spans="1:8" ht="18.75">
      <c r="A7" s="13">
        <v>5</v>
      </c>
      <c r="B7" s="9" t="str">
        <f>"202301002"</f>
        <v>202301002</v>
      </c>
      <c r="C7" s="8" t="str">
        <f>"高博"</f>
        <v>高博</v>
      </c>
      <c r="D7" s="8" t="str">
        <f>"202305070125"</f>
        <v>202305070125</v>
      </c>
      <c r="E7" s="16">
        <v>104.2</v>
      </c>
      <c r="F7" s="17">
        <v>101.5</v>
      </c>
      <c r="G7" s="12">
        <f t="shared" si="0"/>
        <v>205.7</v>
      </c>
      <c r="H7" s="12"/>
    </row>
    <row r="8" spans="1:8" ht="18.75">
      <c r="A8" s="13">
        <v>6</v>
      </c>
      <c r="B8" s="9" t="str">
        <f>"202301002"</f>
        <v>202301002</v>
      </c>
      <c r="C8" s="8" t="str">
        <f>"王静"</f>
        <v>王静</v>
      </c>
      <c r="D8" s="8" t="str">
        <f>"202305070130"</f>
        <v>202305070130</v>
      </c>
      <c r="E8" s="16">
        <v>90.2</v>
      </c>
      <c r="F8" s="17">
        <v>107</v>
      </c>
      <c r="G8" s="12">
        <f t="shared" si="0"/>
        <v>197.2</v>
      </c>
      <c r="H8" s="12"/>
    </row>
    <row r="9" spans="1:8" ht="18.75">
      <c r="A9" s="13">
        <v>7</v>
      </c>
      <c r="B9" s="9" t="str">
        <f>"202301003"</f>
        <v>202301003</v>
      </c>
      <c r="C9" s="8" t="str">
        <f>"张震"</f>
        <v>张震</v>
      </c>
      <c r="D9" s="8" t="str">
        <f>"202305070303"</f>
        <v>202305070303</v>
      </c>
      <c r="E9" s="16">
        <v>105.1</v>
      </c>
      <c r="F9" s="17">
        <v>107.5</v>
      </c>
      <c r="G9" s="12">
        <f t="shared" si="0"/>
        <v>212.6</v>
      </c>
      <c r="H9" s="12"/>
    </row>
    <row r="10" spans="1:8" ht="18.75">
      <c r="A10" s="13">
        <v>8</v>
      </c>
      <c r="B10" s="9" t="str">
        <f>"202301003"</f>
        <v>202301003</v>
      </c>
      <c r="C10" s="8" t="str">
        <f>"刘芳芳"</f>
        <v>刘芳芳</v>
      </c>
      <c r="D10" s="8" t="str">
        <f>"202305070302"</f>
        <v>202305070302</v>
      </c>
      <c r="E10" s="16">
        <v>87.2</v>
      </c>
      <c r="F10" s="17">
        <v>118.5</v>
      </c>
      <c r="G10" s="12">
        <f t="shared" si="0"/>
        <v>205.7</v>
      </c>
      <c r="H10" s="12"/>
    </row>
    <row r="11" spans="1:8" ht="18.75">
      <c r="A11" s="13">
        <v>9</v>
      </c>
      <c r="B11" s="9" t="str">
        <f>"202301003"</f>
        <v>202301003</v>
      </c>
      <c r="C11" s="8" t="str">
        <f>"高中瑶"</f>
        <v>高中瑶</v>
      </c>
      <c r="D11" s="8" t="str">
        <f>"202305070304"</f>
        <v>202305070304</v>
      </c>
      <c r="E11" s="16">
        <v>91.4</v>
      </c>
      <c r="F11" s="17">
        <v>108.5</v>
      </c>
      <c r="G11" s="12">
        <f t="shared" si="0"/>
        <v>199.9</v>
      </c>
      <c r="H11" s="12"/>
    </row>
    <row r="12" spans="1:8" ht="18.75">
      <c r="A12" s="13">
        <v>10</v>
      </c>
      <c r="B12" s="9" t="str">
        <f>"202301004"</f>
        <v>202301004</v>
      </c>
      <c r="C12" s="8" t="str">
        <f>"郭梦晨"</f>
        <v>郭梦晨</v>
      </c>
      <c r="D12" s="8" t="str">
        <f>"202305070408"</f>
        <v>202305070408</v>
      </c>
      <c r="E12" s="16">
        <v>86.5</v>
      </c>
      <c r="F12" s="17">
        <v>111.5</v>
      </c>
      <c r="G12" s="12">
        <f t="shared" si="0"/>
        <v>198</v>
      </c>
      <c r="H12" s="12"/>
    </row>
    <row r="13" spans="1:8" ht="18.75">
      <c r="A13" s="13">
        <v>11</v>
      </c>
      <c r="B13" s="9" t="str">
        <f>"202301004"</f>
        <v>202301004</v>
      </c>
      <c r="C13" s="8" t="str">
        <f>"陆俊"</f>
        <v>陆俊</v>
      </c>
      <c r="D13" s="8" t="str">
        <f>"202305070318"</f>
        <v>202305070318</v>
      </c>
      <c r="E13" s="16">
        <v>88.6</v>
      </c>
      <c r="F13" s="17">
        <v>108</v>
      </c>
      <c r="G13" s="12">
        <f t="shared" si="0"/>
        <v>196.6</v>
      </c>
      <c r="H13" s="12"/>
    </row>
    <row r="14" spans="1:8" ht="18.75">
      <c r="A14" s="13">
        <v>12</v>
      </c>
      <c r="B14" s="9" t="str">
        <f>"202301004"</f>
        <v>202301004</v>
      </c>
      <c r="C14" s="8" t="str">
        <f>"李伟国"</f>
        <v>李伟国</v>
      </c>
      <c r="D14" s="8" t="str">
        <f>"202305070401"</f>
        <v>202305070401</v>
      </c>
      <c r="E14" s="16">
        <v>93</v>
      </c>
      <c r="F14" s="17">
        <v>97</v>
      </c>
      <c r="G14" s="12">
        <f t="shared" si="0"/>
        <v>190</v>
      </c>
      <c r="H14" s="12"/>
    </row>
    <row r="15" spans="1:8" ht="18.75">
      <c r="A15" s="13">
        <v>13</v>
      </c>
      <c r="B15" s="9" t="str">
        <f>"202301005"</f>
        <v>202301005</v>
      </c>
      <c r="C15" s="8" t="str">
        <f>"张楠楠"</f>
        <v>张楠楠</v>
      </c>
      <c r="D15" s="8" t="str">
        <f>"202305070508"</f>
        <v>202305070508</v>
      </c>
      <c r="E15" s="16">
        <v>102.5</v>
      </c>
      <c r="F15" s="17">
        <v>111</v>
      </c>
      <c r="G15" s="12">
        <f t="shared" si="0"/>
        <v>213.5</v>
      </c>
      <c r="H15" s="12"/>
    </row>
    <row r="16" spans="1:8" ht="18.75">
      <c r="A16" s="13">
        <v>14</v>
      </c>
      <c r="B16" s="9" t="str">
        <f>"202301005"</f>
        <v>202301005</v>
      </c>
      <c r="C16" s="8" t="str">
        <f>"常寒梅"</f>
        <v>常寒梅</v>
      </c>
      <c r="D16" s="8" t="str">
        <f>"202305070530"</f>
        <v>202305070530</v>
      </c>
      <c r="E16" s="16">
        <v>93.7</v>
      </c>
      <c r="F16" s="17">
        <v>116.5</v>
      </c>
      <c r="G16" s="12">
        <f t="shared" si="0"/>
        <v>210.2</v>
      </c>
      <c r="H16" s="12"/>
    </row>
    <row r="17" spans="1:8" ht="18.75">
      <c r="A17" s="13">
        <v>15</v>
      </c>
      <c r="B17" s="9" t="str">
        <f>"202301005"</f>
        <v>202301005</v>
      </c>
      <c r="C17" s="8" t="str">
        <f>"王雪莲"</f>
        <v>王雪莲</v>
      </c>
      <c r="D17" s="8" t="str">
        <f>"202305070424"</f>
        <v>202305070424</v>
      </c>
      <c r="E17" s="16">
        <v>99.1</v>
      </c>
      <c r="F17" s="17">
        <v>109</v>
      </c>
      <c r="G17" s="12">
        <f t="shared" si="0"/>
        <v>208.1</v>
      </c>
      <c r="H17" s="12"/>
    </row>
    <row r="18" spans="1:8" ht="18.75">
      <c r="A18" s="13">
        <v>16</v>
      </c>
      <c r="B18" s="9" t="str">
        <f>"202301006"</f>
        <v>202301006</v>
      </c>
      <c r="C18" s="8" t="str">
        <f>"袁亮"</f>
        <v>袁亮</v>
      </c>
      <c r="D18" s="8" t="str">
        <f>"202305070611"</f>
        <v>202305070611</v>
      </c>
      <c r="E18" s="16">
        <v>95</v>
      </c>
      <c r="F18" s="17">
        <v>119</v>
      </c>
      <c r="G18" s="12">
        <f t="shared" si="0"/>
        <v>214</v>
      </c>
      <c r="H18" s="12"/>
    </row>
    <row r="19" spans="1:8" ht="18.75">
      <c r="A19" s="13">
        <v>17</v>
      </c>
      <c r="B19" s="9" t="str">
        <f>"202301006"</f>
        <v>202301006</v>
      </c>
      <c r="C19" s="8" t="str">
        <f>"马东"</f>
        <v>马东</v>
      </c>
      <c r="D19" s="8" t="str">
        <f>"202305070630"</f>
        <v>202305070630</v>
      </c>
      <c r="E19" s="16">
        <v>100.4</v>
      </c>
      <c r="F19" s="17">
        <v>110.5</v>
      </c>
      <c r="G19" s="12">
        <f t="shared" si="0"/>
        <v>210.9</v>
      </c>
      <c r="H19" s="12"/>
    </row>
    <row r="20" spans="1:8" ht="18.75">
      <c r="A20" s="13">
        <v>18</v>
      </c>
      <c r="B20" s="9" t="str">
        <f>"202301006"</f>
        <v>202301006</v>
      </c>
      <c r="C20" s="8" t="str">
        <f>"张龙"</f>
        <v>张龙</v>
      </c>
      <c r="D20" s="8" t="str">
        <f>"202305070720"</f>
        <v>202305070720</v>
      </c>
      <c r="E20" s="16">
        <v>101.5</v>
      </c>
      <c r="F20" s="17">
        <v>107</v>
      </c>
      <c r="G20" s="12">
        <f t="shared" si="0"/>
        <v>208.5</v>
      </c>
      <c r="H20" s="12"/>
    </row>
    <row r="21" spans="1:8" ht="18.75">
      <c r="A21" s="13">
        <v>19</v>
      </c>
      <c r="B21" s="9" t="str">
        <f>"202301007"</f>
        <v>202301007</v>
      </c>
      <c r="C21" s="8" t="str">
        <f>"于泽业"</f>
        <v>于泽业</v>
      </c>
      <c r="D21" s="8" t="str">
        <f>"202305070803"</f>
        <v>202305070803</v>
      </c>
      <c r="E21" s="16">
        <v>108.3</v>
      </c>
      <c r="F21" s="17">
        <v>95.5</v>
      </c>
      <c r="G21" s="12">
        <f t="shared" si="0"/>
        <v>203.8</v>
      </c>
      <c r="H21" s="12"/>
    </row>
    <row r="22" spans="1:8" ht="18.75">
      <c r="A22" s="13">
        <v>20</v>
      </c>
      <c r="B22" s="9" t="str">
        <f>"202301007"</f>
        <v>202301007</v>
      </c>
      <c r="C22" s="8" t="str">
        <f>"詹权武"</f>
        <v>詹权武</v>
      </c>
      <c r="D22" s="8" t="str">
        <f>"202305070728"</f>
        <v>202305070728</v>
      </c>
      <c r="E22" s="16">
        <v>94.2</v>
      </c>
      <c r="F22" s="17">
        <v>104.5</v>
      </c>
      <c r="G22" s="12">
        <f t="shared" si="0"/>
        <v>198.7</v>
      </c>
      <c r="H22" s="12"/>
    </row>
    <row r="23" spans="1:8" ht="18.75">
      <c r="A23" s="13">
        <v>21</v>
      </c>
      <c r="B23" s="9" t="str">
        <f>"202301007"</f>
        <v>202301007</v>
      </c>
      <c r="C23" s="8" t="str">
        <f>"谷思佳"</f>
        <v>谷思佳</v>
      </c>
      <c r="D23" s="8" t="str">
        <f>"202305070725"</f>
        <v>202305070725</v>
      </c>
      <c r="E23" s="16">
        <v>95.6</v>
      </c>
      <c r="F23" s="17">
        <v>100.5</v>
      </c>
      <c r="G23" s="12">
        <f t="shared" si="0"/>
        <v>196.1</v>
      </c>
      <c r="H23" s="12"/>
    </row>
    <row r="24" spans="1:8" ht="18.75">
      <c r="A24" s="13">
        <v>22</v>
      </c>
      <c r="B24" s="9" t="str">
        <f>"202301008"</f>
        <v>202301008</v>
      </c>
      <c r="C24" s="8" t="str">
        <f>"缪雯琪"</f>
        <v>缪雯琪</v>
      </c>
      <c r="D24" s="8" t="str">
        <f>"202305070830"</f>
        <v>202305070830</v>
      </c>
      <c r="E24" s="16">
        <v>104.3</v>
      </c>
      <c r="F24" s="17">
        <v>112</v>
      </c>
      <c r="G24" s="12">
        <f t="shared" si="0"/>
        <v>216.3</v>
      </c>
      <c r="H24" s="12"/>
    </row>
    <row r="25" spans="1:8" ht="18.75">
      <c r="A25" s="13">
        <v>23</v>
      </c>
      <c r="B25" s="9" t="str">
        <f>"202301008"</f>
        <v>202301008</v>
      </c>
      <c r="C25" s="8" t="str">
        <f>"崇雅如"</f>
        <v>崇雅如</v>
      </c>
      <c r="D25" s="8" t="str">
        <f>"202305070827"</f>
        <v>202305070827</v>
      </c>
      <c r="E25" s="16">
        <v>97.8</v>
      </c>
      <c r="F25" s="17">
        <v>106.5</v>
      </c>
      <c r="G25" s="12">
        <f t="shared" si="0"/>
        <v>204.3</v>
      </c>
      <c r="H25" s="12"/>
    </row>
    <row r="26" spans="1:8" ht="18.75">
      <c r="A26" s="13">
        <v>24</v>
      </c>
      <c r="B26" s="9" t="str">
        <f>"202301008"</f>
        <v>202301008</v>
      </c>
      <c r="C26" s="8" t="str">
        <f>"黄梦欣"</f>
        <v>黄梦欣</v>
      </c>
      <c r="D26" s="8" t="str">
        <f>"202305070901"</f>
        <v>202305070901</v>
      </c>
      <c r="E26" s="16">
        <v>89.5</v>
      </c>
      <c r="F26" s="17">
        <v>113.5</v>
      </c>
      <c r="G26" s="12">
        <f t="shared" si="0"/>
        <v>203</v>
      </c>
      <c r="H26" s="12"/>
    </row>
    <row r="27" spans="1:8" ht="18.75">
      <c r="A27" s="13">
        <v>25</v>
      </c>
      <c r="B27" s="9" t="str">
        <f>"202301009"</f>
        <v>202301009</v>
      </c>
      <c r="C27" s="8" t="str">
        <f>"任浩博"</f>
        <v>任浩博</v>
      </c>
      <c r="D27" s="8" t="str">
        <f>"202305070923"</f>
        <v>202305070923</v>
      </c>
      <c r="E27" s="16">
        <v>96.7</v>
      </c>
      <c r="F27" s="17">
        <v>108.5</v>
      </c>
      <c r="G27" s="12">
        <f t="shared" si="0"/>
        <v>205.2</v>
      </c>
      <c r="H27" s="12"/>
    </row>
    <row r="28" spans="1:8" ht="18.75">
      <c r="A28" s="13">
        <v>26</v>
      </c>
      <c r="B28" s="9" t="str">
        <f>"202301009"</f>
        <v>202301009</v>
      </c>
      <c r="C28" s="8" t="str">
        <f>"席天贺"</f>
        <v>席天贺</v>
      </c>
      <c r="D28" s="8" t="str">
        <f>"202305070913"</f>
        <v>202305070913</v>
      </c>
      <c r="E28" s="16">
        <v>102.4</v>
      </c>
      <c r="F28" s="17">
        <v>98.5</v>
      </c>
      <c r="G28" s="12">
        <f t="shared" si="0"/>
        <v>200.9</v>
      </c>
      <c r="H28" s="12"/>
    </row>
    <row r="29" spans="1:8" ht="18.75">
      <c r="A29" s="13">
        <v>27</v>
      </c>
      <c r="B29" s="9" t="str">
        <f>"202301009"</f>
        <v>202301009</v>
      </c>
      <c r="C29" s="8" t="str">
        <f>"张馨芮"</f>
        <v>张馨芮</v>
      </c>
      <c r="D29" s="8" t="str">
        <f>"202305070926"</f>
        <v>202305070926</v>
      </c>
      <c r="E29" s="16">
        <v>99.9</v>
      </c>
      <c r="F29" s="17">
        <v>100.5</v>
      </c>
      <c r="G29" s="12">
        <f t="shared" si="0"/>
        <v>200.4</v>
      </c>
      <c r="H29" s="12"/>
    </row>
    <row r="30" spans="1:8" ht="18.75">
      <c r="A30" s="13">
        <v>28</v>
      </c>
      <c r="B30" s="9" t="str">
        <f>"202301010"</f>
        <v>202301010</v>
      </c>
      <c r="C30" s="8" t="str">
        <f>"方媛"</f>
        <v>方媛</v>
      </c>
      <c r="D30" s="8" t="str">
        <f>"202305071022"</f>
        <v>202305071022</v>
      </c>
      <c r="E30" s="16">
        <v>88.9</v>
      </c>
      <c r="F30" s="17">
        <v>116</v>
      </c>
      <c r="G30" s="12">
        <f t="shared" si="0"/>
        <v>204.9</v>
      </c>
      <c r="H30" s="12"/>
    </row>
    <row r="31" spans="1:8" ht="18.75">
      <c r="A31" s="13">
        <v>29</v>
      </c>
      <c r="B31" s="9" t="str">
        <f>"202301010"</f>
        <v>202301010</v>
      </c>
      <c r="C31" s="8" t="str">
        <f>"张奇"</f>
        <v>张奇</v>
      </c>
      <c r="D31" s="8" t="str">
        <f>"202305071021"</f>
        <v>202305071021</v>
      </c>
      <c r="E31" s="16">
        <v>91.7</v>
      </c>
      <c r="F31" s="17">
        <v>111.5</v>
      </c>
      <c r="G31" s="12">
        <f t="shared" si="0"/>
        <v>203.2</v>
      </c>
      <c r="H31" s="12"/>
    </row>
    <row r="32" spans="1:8" ht="18.75">
      <c r="A32" s="13">
        <v>30</v>
      </c>
      <c r="B32" s="9" t="str">
        <f>"202301010"</f>
        <v>202301010</v>
      </c>
      <c r="C32" s="8" t="str">
        <f>"兰愚山"</f>
        <v>兰愚山</v>
      </c>
      <c r="D32" s="8" t="str">
        <f>"202305071010"</f>
        <v>202305071010</v>
      </c>
      <c r="E32" s="16">
        <v>105.3</v>
      </c>
      <c r="F32" s="17">
        <v>91.5</v>
      </c>
      <c r="G32" s="12">
        <f t="shared" si="0"/>
        <v>196.8</v>
      </c>
      <c r="H32" s="12"/>
    </row>
    <row r="33" spans="1:8" ht="18.75">
      <c r="A33" s="13">
        <v>31</v>
      </c>
      <c r="B33" s="9" t="str">
        <f>"202301011"</f>
        <v>202301011</v>
      </c>
      <c r="C33" s="8" t="str">
        <f>"张晓玥"</f>
        <v>张晓玥</v>
      </c>
      <c r="D33" s="8" t="str">
        <f>"202305071027"</f>
        <v>202305071027</v>
      </c>
      <c r="E33" s="16">
        <v>96.4</v>
      </c>
      <c r="F33" s="17">
        <v>115.5</v>
      </c>
      <c r="G33" s="12">
        <f t="shared" si="0"/>
        <v>211.9</v>
      </c>
      <c r="H33" s="12"/>
    </row>
    <row r="34" spans="1:8" ht="18.75">
      <c r="A34" s="13">
        <v>32</v>
      </c>
      <c r="B34" s="9" t="str">
        <f>"202301011"</f>
        <v>202301011</v>
      </c>
      <c r="C34" s="8" t="str">
        <f>"唐晶晶"</f>
        <v>唐晶晶</v>
      </c>
      <c r="D34" s="8" t="str">
        <f>"202305071029"</f>
        <v>202305071029</v>
      </c>
      <c r="E34" s="16">
        <v>97.5</v>
      </c>
      <c r="F34" s="17">
        <v>106.5</v>
      </c>
      <c r="G34" s="12">
        <f t="shared" si="0"/>
        <v>204</v>
      </c>
      <c r="H34" s="12"/>
    </row>
    <row r="35" spans="1:8" ht="18.75">
      <c r="A35" s="13">
        <v>33</v>
      </c>
      <c r="B35" s="9" t="str">
        <f>"202301011"</f>
        <v>202301011</v>
      </c>
      <c r="C35" s="8" t="str">
        <f>"董吉瑞"</f>
        <v>董吉瑞</v>
      </c>
      <c r="D35" s="8" t="str">
        <f>"202305071025"</f>
        <v>202305071025</v>
      </c>
      <c r="E35" s="16">
        <v>91.1</v>
      </c>
      <c r="F35" s="17">
        <v>109</v>
      </c>
      <c r="G35" s="12">
        <f t="shared" si="0"/>
        <v>200.1</v>
      </c>
      <c r="H35" s="12"/>
    </row>
    <row r="36" spans="1:8" ht="18.75">
      <c r="A36" s="13">
        <v>34</v>
      </c>
      <c r="B36" s="9" t="str">
        <f>"202301012"</f>
        <v>202301012</v>
      </c>
      <c r="C36" s="8" t="str">
        <f>"刘雨晴"</f>
        <v>刘雨晴</v>
      </c>
      <c r="D36" s="8" t="str">
        <f>"202305071127"</f>
        <v>202305071127</v>
      </c>
      <c r="E36" s="16">
        <v>107.6</v>
      </c>
      <c r="F36" s="17">
        <v>118.5</v>
      </c>
      <c r="G36" s="12">
        <f t="shared" si="0"/>
        <v>226.1</v>
      </c>
      <c r="H36" s="12"/>
    </row>
    <row r="37" spans="1:8" ht="18.75">
      <c r="A37" s="13">
        <v>35</v>
      </c>
      <c r="B37" s="9" t="str">
        <f>"202301012"</f>
        <v>202301012</v>
      </c>
      <c r="C37" s="8" t="str">
        <f>"李敏惠"</f>
        <v>李敏惠</v>
      </c>
      <c r="D37" s="8" t="str">
        <f>"202305071205"</f>
        <v>202305071205</v>
      </c>
      <c r="E37" s="16">
        <v>113.8</v>
      </c>
      <c r="F37" s="17">
        <v>101</v>
      </c>
      <c r="G37" s="12">
        <f t="shared" si="0"/>
        <v>214.8</v>
      </c>
      <c r="H37" s="12"/>
    </row>
    <row r="38" spans="1:8" ht="18.75">
      <c r="A38" s="13">
        <v>36</v>
      </c>
      <c r="B38" s="9" t="str">
        <f>"202301012"</f>
        <v>202301012</v>
      </c>
      <c r="C38" s="8" t="str">
        <f>"周脉"</f>
        <v>周脉</v>
      </c>
      <c r="D38" s="8" t="str">
        <f>"202305071123"</f>
        <v>202305071123</v>
      </c>
      <c r="E38" s="16">
        <v>108.2</v>
      </c>
      <c r="F38" s="17">
        <v>106</v>
      </c>
      <c r="G38" s="12">
        <f t="shared" si="0"/>
        <v>214.2</v>
      </c>
      <c r="H38" s="12"/>
    </row>
    <row r="39" spans="1:8" ht="18.75">
      <c r="A39" s="13">
        <v>37</v>
      </c>
      <c r="B39" s="9" t="str">
        <f aca="true" t="shared" si="1" ref="B39:B44">"202301013"</f>
        <v>202301013</v>
      </c>
      <c r="C39" s="8" t="str">
        <f>"刘言贝"</f>
        <v>刘言贝</v>
      </c>
      <c r="D39" s="8" t="str">
        <f>"202305071420"</f>
        <v>202305071420</v>
      </c>
      <c r="E39" s="16">
        <v>104.1</v>
      </c>
      <c r="F39" s="17">
        <v>111</v>
      </c>
      <c r="G39" s="12">
        <f t="shared" si="0"/>
        <v>215.1</v>
      </c>
      <c r="H39" s="12"/>
    </row>
    <row r="40" spans="1:8" ht="18.75">
      <c r="A40" s="13">
        <v>38</v>
      </c>
      <c r="B40" s="9" t="str">
        <f t="shared" si="1"/>
        <v>202301013</v>
      </c>
      <c r="C40" s="8" t="str">
        <f>"华悦辰"</f>
        <v>华悦辰</v>
      </c>
      <c r="D40" s="8" t="str">
        <f>"202305071515"</f>
        <v>202305071515</v>
      </c>
      <c r="E40" s="16">
        <v>103.6</v>
      </c>
      <c r="F40" s="17">
        <v>109.5</v>
      </c>
      <c r="G40" s="12">
        <f t="shared" si="0"/>
        <v>213.1</v>
      </c>
      <c r="H40" s="12"/>
    </row>
    <row r="41" spans="1:8" ht="18.75">
      <c r="A41" s="13">
        <v>39</v>
      </c>
      <c r="B41" s="9" t="str">
        <f t="shared" si="1"/>
        <v>202301013</v>
      </c>
      <c r="C41" s="8" t="str">
        <f>"凌淑娴"</f>
        <v>凌淑娴</v>
      </c>
      <c r="D41" s="8" t="str">
        <f>"202305071324"</f>
        <v>202305071324</v>
      </c>
      <c r="E41" s="16">
        <v>104.5</v>
      </c>
      <c r="F41" s="17">
        <v>108</v>
      </c>
      <c r="G41" s="12">
        <f t="shared" si="0"/>
        <v>212.5</v>
      </c>
      <c r="H41" s="12"/>
    </row>
    <row r="42" spans="1:8" ht="18.75">
      <c r="A42" s="13">
        <v>40</v>
      </c>
      <c r="B42" s="9" t="str">
        <f t="shared" si="1"/>
        <v>202301013</v>
      </c>
      <c r="C42" s="8" t="str">
        <f>"闻月"</f>
        <v>闻月</v>
      </c>
      <c r="D42" s="8" t="str">
        <f>"202305071511"</f>
        <v>202305071511</v>
      </c>
      <c r="E42" s="16">
        <v>93.4</v>
      </c>
      <c r="F42" s="17">
        <v>116.5</v>
      </c>
      <c r="G42" s="12">
        <f t="shared" si="0"/>
        <v>209.9</v>
      </c>
      <c r="H42" s="12"/>
    </row>
    <row r="43" spans="1:8" ht="18.75">
      <c r="A43" s="13">
        <v>41</v>
      </c>
      <c r="B43" s="9" t="str">
        <f t="shared" si="1"/>
        <v>202301013</v>
      </c>
      <c r="C43" s="8" t="str">
        <f>"姜萌"</f>
        <v>姜萌</v>
      </c>
      <c r="D43" s="8" t="str">
        <f>"202305071313"</f>
        <v>202305071313</v>
      </c>
      <c r="E43" s="16">
        <v>104.9</v>
      </c>
      <c r="F43" s="17">
        <v>104.5</v>
      </c>
      <c r="G43" s="12">
        <f t="shared" si="0"/>
        <v>209.4</v>
      </c>
      <c r="H43" s="12"/>
    </row>
    <row r="44" spans="1:8" ht="18.75">
      <c r="A44" s="13">
        <v>42</v>
      </c>
      <c r="B44" s="9" t="str">
        <f t="shared" si="1"/>
        <v>202301013</v>
      </c>
      <c r="C44" s="8" t="str">
        <f>"单计红"</f>
        <v>单计红</v>
      </c>
      <c r="D44" s="8" t="str">
        <f>"202305071502"</f>
        <v>202305071502</v>
      </c>
      <c r="E44" s="16">
        <v>93.9</v>
      </c>
      <c r="F44" s="17">
        <v>115</v>
      </c>
      <c r="G44" s="12">
        <f t="shared" si="0"/>
        <v>208.9</v>
      </c>
      <c r="H44" s="12"/>
    </row>
    <row r="45" spans="1:8" ht="18.75">
      <c r="A45" s="13">
        <v>43</v>
      </c>
      <c r="B45" s="9" t="str">
        <f>"202301014"</f>
        <v>202301014</v>
      </c>
      <c r="C45" s="8" t="str">
        <f>"郭莉娟"</f>
        <v>郭莉娟</v>
      </c>
      <c r="D45" s="8" t="str">
        <f>"202305071520"</f>
        <v>202305071520</v>
      </c>
      <c r="E45" s="16">
        <v>91.7</v>
      </c>
      <c r="F45" s="17">
        <v>111.5</v>
      </c>
      <c r="G45" s="12">
        <f t="shared" si="0"/>
        <v>203.2</v>
      </c>
      <c r="H45" s="12"/>
    </row>
    <row r="46" spans="1:8" ht="18.75">
      <c r="A46" s="13">
        <v>44</v>
      </c>
      <c r="B46" s="9" t="str">
        <f>"202301014"</f>
        <v>202301014</v>
      </c>
      <c r="C46" s="8" t="str">
        <f>"李昂"</f>
        <v>李昂</v>
      </c>
      <c r="D46" s="8" t="str">
        <f>"202305071521"</f>
        <v>202305071521</v>
      </c>
      <c r="E46" s="16">
        <v>101.1</v>
      </c>
      <c r="F46" s="17">
        <v>101.5</v>
      </c>
      <c r="G46" s="12">
        <f t="shared" si="0"/>
        <v>202.6</v>
      </c>
      <c r="H46" s="12"/>
    </row>
    <row r="47" spans="1:8" ht="18.75">
      <c r="A47" s="13">
        <v>45</v>
      </c>
      <c r="B47" s="9" t="str">
        <f>"202301014"</f>
        <v>202301014</v>
      </c>
      <c r="C47" s="8" t="str">
        <f>"孙燕"</f>
        <v>孙燕</v>
      </c>
      <c r="D47" s="8" t="str">
        <f>"202305071522"</f>
        <v>202305071522</v>
      </c>
      <c r="E47" s="16">
        <v>91.7</v>
      </c>
      <c r="F47" s="17">
        <v>105</v>
      </c>
      <c r="G47" s="12">
        <f t="shared" si="0"/>
        <v>196.7</v>
      </c>
      <c r="H47" s="12"/>
    </row>
    <row r="48" spans="1:8" ht="18.75">
      <c r="A48" s="13">
        <v>46</v>
      </c>
      <c r="B48" s="9" t="str">
        <f>"202301015"</f>
        <v>202301015</v>
      </c>
      <c r="C48" s="8" t="str">
        <f>"周全"</f>
        <v>周全</v>
      </c>
      <c r="D48" s="8" t="str">
        <f>"202305071604"</f>
        <v>202305071604</v>
      </c>
      <c r="E48" s="16">
        <v>96.6</v>
      </c>
      <c r="F48" s="17">
        <v>103</v>
      </c>
      <c r="G48" s="12">
        <f t="shared" si="0"/>
        <v>199.6</v>
      </c>
      <c r="H48" s="12"/>
    </row>
    <row r="49" spans="1:8" ht="18.75">
      <c r="A49" s="13">
        <v>47</v>
      </c>
      <c r="B49" s="9" t="str">
        <f>"202301015"</f>
        <v>202301015</v>
      </c>
      <c r="C49" s="8" t="str">
        <f>"唐迪"</f>
        <v>唐迪</v>
      </c>
      <c r="D49" s="8" t="str">
        <f>"202305071603"</f>
        <v>202305071603</v>
      </c>
      <c r="E49" s="16">
        <v>90.5</v>
      </c>
      <c r="F49" s="17">
        <v>107</v>
      </c>
      <c r="G49" s="12">
        <f t="shared" si="0"/>
        <v>197.5</v>
      </c>
      <c r="H49" s="12"/>
    </row>
    <row r="50" spans="1:8" ht="18.75">
      <c r="A50" s="13">
        <v>48</v>
      </c>
      <c r="B50" s="9" t="str">
        <f>"202301015"</f>
        <v>202301015</v>
      </c>
      <c r="C50" s="8" t="str">
        <f>"刘雨晴"</f>
        <v>刘雨晴</v>
      </c>
      <c r="D50" s="8" t="str">
        <f>"202305071528"</f>
        <v>202305071528</v>
      </c>
      <c r="E50" s="16">
        <v>87.7</v>
      </c>
      <c r="F50" s="17">
        <v>106</v>
      </c>
      <c r="G50" s="12">
        <f t="shared" si="0"/>
        <v>193.7</v>
      </c>
      <c r="H50" s="12"/>
    </row>
    <row r="51" spans="1:8" ht="18.75">
      <c r="A51" s="13">
        <v>49</v>
      </c>
      <c r="B51" s="9" t="str">
        <f>"202301016"</f>
        <v>202301016</v>
      </c>
      <c r="C51" s="8" t="str">
        <f>"朱浩楠"</f>
        <v>朱浩楠</v>
      </c>
      <c r="D51" s="8" t="str">
        <f>"202305071615"</f>
        <v>202305071615</v>
      </c>
      <c r="E51" s="16">
        <v>110.7</v>
      </c>
      <c r="F51" s="17">
        <v>99</v>
      </c>
      <c r="G51" s="12">
        <f t="shared" si="0"/>
        <v>209.7</v>
      </c>
      <c r="H51" s="12"/>
    </row>
    <row r="52" spans="1:8" ht="18.75">
      <c r="A52" s="13">
        <v>50</v>
      </c>
      <c r="B52" s="9" t="str">
        <f>"202301016"</f>
        <v>202301016</v>
      </c>
      <c r="C52" s="8" t="str">
        <f>"乔明鑫"</f>
        <v>乔明鑫</v>
      </c>
      <c r="D52" s="8" t="str">
        <f>"202305071619"</f>
        <v>202305071619</v>
      </c>
      <c r="E52" s="16">
        <v>96.7</v>
      </c>
      <c r="F52" s="17">
        <v>108.5</v>
      </c>
      <c r="G52" s="12">
        <f t="shared" si="0"/>
        <v>205.2</v>
      </c>
      <c r="H52" s="12"/>
    </row>
    <row r="53" spans="1:8" ht="18.75">
      <c r="A53" s="13">
        <v>51</v>
      </c>
      <c r="B53" s="9" t="str">
        <f>"202301016"</f>
        <v>202301016</v>
      </c>
      <c r="C53" s="8" t="str">
        <f>"常仁杰"</f>
        <v>常仁杰</v>
      </c>
      <c r="D53" s="8" t="str">
        <f>"202305071710"</f>
        <v>202305071710</v>
      </c>
      <c r="E53" s="16">
        <v>95.6</v>
      </c>
      <c r="F53" s="17">
        <v>94.5</v>
      </c>
      <c r="G53" s="12">
        <f t="shared" si="0"/>
        <v>190.1</v>
      </c>
      <c r="H53" s="12"/>
    </row>
    <row r="54" spans="1:8" ht="18.75">
      <c r="A54" s="13">
        <v>52</v>
      </c>
      <c r="B54" s="9" t="str">
        <f aca="true" t="shared" si="2" ref="B54:B86">"202301017"</f>
        <v>202301017</v>
      </c>
      <c r="C54" s="8" t="str">
        <f>"何心宁"</f>
        <v>何心宁</v>
      </c>
      <c r="D54" s="8" t="str">
        <f>"202305071728"</f>
        <v>202305071728</v>
      </c>
      <c r="E54" s="16">
        <v>90.2</v>
      </c>
      <c r="F54" s="17">
        <v>120</v>
      </c>
      <c r="G54" s="12">
        <f aca="true" t="shared" si="3" ref="G54:G78">SUM(E54:F54)</f>
        <v>210.2</v>
      </c>
      <c r="H54" s="12"/>
    </row>
    <row r="55" spans="1:8" ht="18.75">
      <c r="A55" s="13">
        <v>53</v>
      </c>
      <c r="B55" s="9" t="str">
        <f t="shared" si="2"/>
        <v>202301017</v>
      </c>
      <c r="C55" s="8" t="str">
        <f>"马涛"</f>
        <v>马涛</v>
      </c>
      <c r="D55" s="8" t="str">
        <f>"202305071804"</f>
        <v>202305071804</v>
      </c>
      <c r="E55" s="16">
        <v>103.2</v>
      </c>
      <c r="F55" s="17">
        <v>100</v>
      </c>
      <c r="G55" s="12">
        <f t="shared" si="3"/>
        <v>203.2</v>
      </c>
      <c r="H55" s="12"/>
    </row>
    <row r="56" spans="1:8" ht="18.75">
      <c r="A56" s="13">
        <v>54</v>
      </c>
      <c r="B56" s="9" t="str">
        <f t="shared" si="2"/>
        <v>202301017</v>
      </c>
      <c r="C56" s="8" t="str">
        <f>"王鑫"</f>
        <v>王鑫</v>
      </c>
      <c r="D56" s="8" t="str">
        <f>"202305071806"</f>
        <v>202305071806</v>
      </c>
      <c r="E56" s="16">
        <v>79.5</v>
      </c>
      <c r="F56" s="17">
        <v>117</v>
      </c>
      <c r="G56" s="12">
        <f t="shared" si="3"/>
        <v>196.5</v>
      </c>
      <c r="H56" s="12"/>
    </row>
    <row r="57" spans="1:8" ht="18.75">
      <c r="A57" s="13">
        <v>55</v>
      </c>
      <c r="B57" s="9" t="str">
        <f t="shared" si="2"/>
        <v>202301017</v>
      </c>
      <c r="C57" s="8" t="str">
        <f>"朱煜"</f>
        <v>朱煜</v>
      </c>
      <c r="D57" s="8" t="str">
        <f>"202305071803"</f>
        <v>202305071803</v>
      </c>
      <c r="E57" s="16">
        <v>89.9</v>
      </c>
      <c r="F57" s="17">
        <v>103.5</v>
      </c>
      <c r="G57" s="12">
        <f t="shared" si="3"/>
        <v>193.4</v>
      </c>
      <c r="H57" s="12"/>
    </row>
    <row r="58" spans="1:8" ht="18.75">
      <c r="A58" s="13">
        <v>56</v>
      </c>
      <c r="B58" s="9" t="str">
        <f t="shared" si="2"/>
        <v>202301017</v>
      </c>
      <c r="C58" s="8" t="str">
        <f>"刘勇"</f>
        <v>刘勇</v>
      </c>
      <c r="D58" s="8" t="str">
        <f>"202305071730"</f>
        <v>202305071730</v>
      </c>
      <c r="E58" s="16">
        <v>94.6</v>
      </c>
      <c r="F58" s="17">
        <v>97.5</v>
      </c>
      <c r="G58" s="12">
        <f t="shared" si="3"/>
        <v>192.1</v>
      </c>
      <c r="H58" s="12"/>
    </row>
    <row r="59" spans="1:8" ht="18.75">
      <c r="A59" s="13">
        <v>57</v>
      </c>
      <c r="B59" s="9" t="str">
        <f t="shared" si="2"/>
        <v>202301017</v>
      </c>
      <c r="C59" s="8" t="str">
        <f>"屠靖康"</f>
        <v>屠靖康</v>
      </c>
      <c r="D59" s="8" t="str">
        <f>"202305071722"</f>
        <v>202305071722</v>
      </c>
      <c r="E59" s="16">
        <v>86.8</v>
      </c>
      <c r="F59" s="17">
        <v>104.5</v>
      </c>
      <c r="G59" s="12">
        <f t="shared" si="3"/>
        <v>191.3</v>
      </c>
      <c r="H59" s="12"/>
    </row>
    <row r="60" spans="1:8" ht="18.75">
      <c r="A60" s="13">
        <v>58</v>
      </c>
      <c r="B60" s="9" t="str">
        <f aca="true" t="shared" si="4" ref="B60:B83">"202301018"</f>
        <v>202301018</v>
      </c>
      <c r="C60" s="8" t="str">
        <f>"李涵宇"</f>
        <v>李涵宇</v>
      </c>
      <c r="D60" s="8" t="str">
        <f>"202305071907"</f>
        <v>202305071907</v>
      </c>
      <c r="E60" s="16">
        <v>103.7</v>
      </c>
      <c r="F60" s="17">
        <v>113</v>
      </c>
      <c r="G60" s="12">
        <f t="shared" si="3"/>
        <v>216.7</v>
      </c>
      <c r="H60" s="12"/>
    </row>
    <row r="61" spans="1:8" ht="18.75">
      <c r="A61" s="13">
        <v>59</v>
      </c>
      <c r="B61" s="9" t="str">
        <f t="shared" si="4"/>
        <v>202301018</v>
      </c>
      <c r="C61" s="8" t="str">
        <f>"张同辉"</f>
        <v>张同辉</v>
      </c>
      <c r="D61" s="8" t="str">
        <f>"202305071901"</f>
        <v>202305071901</v>
      </c>
      <c r="E61" s="16">
        <v>86.8</v>
      </c>
      <c r="F61" s="17">
        <v>116</v>
      </c>
      <c r="G61" s="12">
        <f t="shared" si="3"/>
        <v>202.8</v>
      </c>
      <c r="H61" s="12"/>
    </row>
    <row r="62" spans="1:8" ht="18.75">
      <c r="A62" s="13">
        <v>60</v>
      </c>
      <c r="B62" s="9" t="str">
        <f t="shared" si="4"/>
        <v>202301018</v>
      </c>
      <c r="C62" s="8" t="str">
        <f>"陆胜男"</f>
        <v>陆胜男</v>
      </c>
      <c r="D62" s="8" t="str">
        <f>"202305071830"</f>
        <v>202305071830</v>
      </c>
      <c r="E62" s="16">
        <v>85.8</v>
      </c>
      <c r="F62" s="17">
        <v>111.5</v>
      </c>
      <c r="G62" s="12">
        <f t="shared" si="3"/>
        <v>197.3</v>
      </c>
      <c r="H62" s="12"/>
    </row>
    <row r="63" spans="1:8" ht="18.75">
      <c r="A63" s="13">
        <v>61</v>
      </c>
      <c r="B63" s="9" t="str">
        <f t="shared" si="4"/>
        <v>202301018</v>
      </c>
      <c r="C63" s="8" t="str">
        <f>"成开锋"</f>
        <v>成开锋</v>
      </c>
      <c r="D63" s="8" t="str">
        <f>"202305071819"</f>
        <v>202305071819</v>
      </c>
      <c r="E63" s="16">
        <v>103.7</v>
      </c>
      <c r="F63" s="17">
        <v>93</v>
      </c>
      <c r="G63" s="12">
        <f t="shared" si="3"/>
        <v>196.7</v>
      </c>
      <c r="H63" s="12"/>
    </row>
    <row r="64" spans="1:8" ht="18.75">
      <c r="A64" s="13">
        <v>62</v>
      </c>
      <c r="B64" s="9" t="str">
        <f t="shared" si="4"/>
        <v>202301018</v>
      </c>
      <c r="C64" s="8" t="str">
        <f>"程子莹"</f>
        <v>程子莹</v>
      </c>
      <c r="D64" s="8" t="str">
        <f>"202305071908"</f>
        <v>202305071908</v>
      </c>
      <c r="E64" s="16">
        <v>92.6</v>
      </c>
      <c r="F64" s="17">
        <v>101.5</v>
      </c>
      <c r="G64" s="12">
        <f t="shared" si="3"/>
        <v>194.1</v>
      </c>
      <c r="H64" s="12"/>
    </row>
    <row r="65" spans="1:8" ht="18.75">
      <c r="A65" s="13">
        <v>63</v>
      </c>
      <c r="B65" s="9" t="str">
        <f t="shared" si="4"/>
        <v>202301018</v>
      </c>
      <c r="C65" s="8" t="str">
        <f>"刘程瑶"</f>
        <v>刘程瑶</v>
      </c>
      <c r="D65" s="8" t="str">
        <f>"202305071905"</f>
        <v>202305071905</v>
      </c>
      <c r="E65" s="16">
        <v>90.2</v>
      </c>
      <c r="F65" s="17">
        <v>103</v>
      </c>
      <c r="G65" s="12">
        <f t="shared" si="3"/>
        <v>193.2</v>
      </c>
      <c r="H65" s="12"/>
    </row>
    <row r="66" spans="1:8" ht="18.75">
      <c r="A66" s="13">
        <v>64</v>
      </c>
      <c r="B66" s="9" t="str">
        <f>"202301019"</f>
        <v>202301019</v>
      </c>
      <c r="C66" s="8" t="str">
        <f>"齐志伟"</f>
        <v>齐志伟</v>
      </c>
      <c r="D66" s="8" t="str">
        <f>"202305071925"</f>
        <v>202305071925</v>
      </c>
      <c r="E66" s="16">
        <v>102.6</v>
      </c>
      <c r="F66" s="17">
        <v>99.5</v>
      </c>
      <c r="G66" s="12">
        <f t="shared" si="3"/>
        <v>202.1</v>
      </c>
      <c r="H66" s="12"/>
    </row>
    <row r="67" spans="1:8" ht="18.75">
      <c r="A67" s="13">
        <v>65</v>
      </c>
      <c r="B67" s="9" t="str">
        <f>"202301019"</f>
        <v>202301019</v>
      </c>
      <c r="C67" s="8" t="str">
        <f>"宋雪梅"</f>
        <v>宋雪梅</v>
      </c>
      <c r="D67" s="8" t="str">
        <f>"202305071911"</f>
        <v>202305071911</v>
      </c>
      <c r="E67" s="16">
        <v>92.7</v>
      </c>
      <c r="F67" s="17">
        <v>107.5</v>
      </c>
      <c r="G67" s="12">
        <f t="shared" si="3"/>
        <v>200.2</v>
      </c>
      <c r="H67" s="12"/>
    </row>
    <row r="68" spans="1:8" ht="18.75">
      <c r="A68" s="13">
        <v>66</v>
      </c>
      <c r="B68" s="9" t="str">
        <f>"202301019"</f>
        <v>202301019</v>
      </c>
      <c r="C68" s="8" t="str">
        <f>"陈乾"</f>
        <v>陈乾</v>
      </c>
      <c r="D68" s="8" t="str">
        <f>"202305072007"</f>
        <v>202305072007</v>
      </c>
      <c r="E68" s="16">
        <v>99.4</v>
      </c>
      <c r="F68" s="17">
        <v>98</v>
      </c>
      <c r="G68" s="12">
        <f t="shared" si="3"/>
        <v>197.4</v>
      </c>
      <c r="H68" s="12"/>
    </row>
    <row r="69" spans="1:8" ht="18.75">
      <c r="A69" s="13">
        <v>67</v>
      </c>
      <c r="B69" s="9" t="str">
        <f>"202301020"</f>
        <v>202301020</v>
      </c>
      <c r="C69" s="8" t="str">
        <f>"史加冉"</f>
        <v>史加冉</v>
      </c>
      <c r="D69" s="8" t="str">
        <f>"202305072022"</f>
        <v>202305072022</v>
      </c>
      <c r="E69" s="16">
        <v>108.8</v>
      </c>
      <c r="F69" s="17">
        <v>99.5</v>
      </c>
      <c r="G69" s="12">
        <f t="shared" si="3"/>
        <v>208.3</v>
      </c>
      <c r="H69" s="12"/>
    </row>
    <row r="70" spans="1:8" ht="18.75">
      <c r="A70" s="13">
        <v>68</v>
      </c>
      <c r="B70" s="9" t="str">
        <f>"202301020"</f>
        <v>202301020</v>
      </c>
      <c r="C70" s="8" t="str">
        <f>"李昕"</f>
        <v>李昕</v>
      </c>
      <c r="D70" s="8" t="str">
        <f>"202305072026"</f>
        <v>202305072026</v>
      </c>
      <c r="E70" s="16">
        <v>94.2</v>
      </c>
      <c r="F70" s="17">
        <v>114</v>
      </c>
      <c r="G70" s="12">
        <f t="shared" si="3"/>
        <v>208.2</v>
      </c>
      <c r="H70" s="12"/>
    </row>
    <row r="71" spans="1:8" ht="18.75">
      <c r="A71" s="13">
        <v>69</v>
      </c>
      <c r="B71" s="9" t="str">
        <f>"202301020"</f>
        <v>202301020</v>
      </c>
      <c r="C71" s="8" t="str">
        <f>"尹雪莹"</f>
        <v>尹雪莹</v>
      </c>
      <c r="D71" s="8" t="str">
        <f>"202305072025"</f>
        <v>202305072025</v>
      </c>
      <c r="E71" s="16">
        <v>103.2</v>
      </c>
      <c r="F71" s="17">
        <v>104</v>
      </c>
      <c r="G71" s="12">
        <f t="shared" si="3"/>
        <v>207.2</v>
      </c>
      <c r="H71" s="12"/>
    </row>
    <row r="72" spans="1:8" ht="18.75">
      <c r="A72" s="13">
        <v>70</v>
      </c>
      <c r="B72" s="9" t="str">
        <f>"202301021"</f>
        <v>202301021</v>
      </c>
      <c r="C72" s="8" t="str">
        <f>"杜广燚"</f>
        <v>杜广燚</v>
      </c>
      <c r="D72" s="8" t="str">
        <f>"202305072129"</f>
        <v>202305072129</v>
      </c>
      <c r="E72" s="16">
        <v>87.5</v>
      </c>
      <c r="F72" s="17">
        <v>107</v>
      </c>
      <c r="G72" s="12">
        <f t="shared" si="3"/>
        <v>194.5</v>
      </c>
      <c r="H72" s="12"/>
    </row>
    <row r="73" spans="1:8" ht="18.75">
      <c r="A73" s="13">
        <v>71</v>
      </c>
      <c r="B73" s="9" t="str">
        <f>"202301021"</f>
        <v>202301021</v>
      </c>
      <c r="C73" s="8" t="str">
        <f>"陶港澳"</f>
        <v>陶港澳</v>
      </c>
      <c r="D73" s="8" t="str">
        <f>"202305072217"</f>
        <v>202305072217</v>
      </c>
      <c r="E73" s="16">
        <v>91.3</v>
      </c>
      <c r="F73" s="17">
        <v>101.5</v>
      </c>
      <c r="G73" s="12">
        <f t="shared" si="3"/>
        <v>192.8</v>
      </c>
      <c r="H73" s="12"/>
    </row>
    <row r="74" spans="1:8" ht="18.75">
      <c r="A74" s="13">
        <v>72</v>
      </c>
      <c r="B74" s="9" t="str">
        <f>"202301021"</f>
        <v>202301021</v>
      </c>
      <c r="C74" s="8" t="str">
        <f>"孙贝贝"</f>
        <v>孙贝贝</v>
      </c>
      <c r="D74" s="8" t="str">
        <f>"202305072216"</f>
        <v>202305072216</v>
      </c>
      <c r="E74" s="16">
        <v>81.3</v>
      </c>
      <c r="F74" s="17">
        <v>107</v>
      </c>
      <c r="G74" s="12">
        <f t="shared" si="3"/>
        <v>188.3</v>
      </c>
      <c r="H74" s="12"/>
    </row>
    <row r="75" spans="1:8" s="2" customFormat="1" ht="18.75">
      <c r="A75" s="13">
        <v>73</v>
      </c>
      <c r="B75" s="14" t="str">
        <f>"202301022"</f>
        <v>202301022</v>
      </c>
      <c r="C75" s="15" t="str">
        <f>"邓馨"</f>
        <v>邓馨</v>
      </c>
      <c r="D75" s="15" t="str">
        <f>"202305072223"</f>
        <v>202305072223</v>
      </c>
      <c r="E75" s="16">
        <v>84.7</v>
      </c>
      <c r="F75" s="17">
        <v>107.5</v>
      </c>
      <c r="G75" s="13">
        <f t="shared" si="3"/>
        <v>192.2</v>
      </c>
      <c r="H75" s="18"/>
    </row>
    <row r="76" spans="1:8" s="2" customFormat="1" ht="18.75">
      <c r="A76" s="13">
        <v>74</v>
      </c>
      <c r="B76" s="14" t="str">
        <f>"202301022"</f>
        <v>202301022</v>
      </c>
      <c r="C76" s="15" t="str">
        <f>"顾苑"</f>
        <v>顾苑</v>
      </c>
      <c r="D76" s="15" t="str">
        <f>"202305072229"</f>
        <v>202305072229</v>
      </c>
      <c r="E76" s="16">
        <v>89</v>
      </c>
      <c r="F76" s="17">
        <v>97.5</v>
      </c>
      <c r="G76" s="13">
        <f t="shared" si="3"/>
        <v>186.5</v>
      </c>
      <c r="H76" s="18"/>
    </row>
    <row r="77" spans="1:8" s="2" customFormat="1" ht="18.75">
      <c r="A77" s="13">
        <v>75</v>
      </c>
      <c r="B77" s="14" t="str">
        <f>"202301022"</f>
        <v>202301022</v>
      </c>
      <c r="C77" s="15" t="str">
        <f>"张引"</f>
        <v>张引</v>
      </c>
      <c r="D77" s="15" t="str">
        <f>"202305072228"</f>
        <v>202305072228</v>
      </c>
      <c r="E77" s="16">
        <v>79</v>
      </c>
      <c r="F77" s="17">
        <v>106</v>
      </c>
      <c r="G77" s="13">
        <f t="shared" si="3"/>
        <v>185</v>
      </c>
      <c r="H77" s="18"/>
    </row>
    <row r="78" spans="1:8" s="2" customFormat="1" ht="18.75">
      <c r="A78" s="13">
        <v>76</v>
      </c>
      <c r="B78" s="14" t="str">
        <f>"202301022"</f>
        <v>202301022</v>
      </c>
      <c r="C78" s="15" t="str">
        <f>"郁华悦"</f>
        <v>郁华悦</v>
      </c>
      <c r="D78" s="15" t="str">
        <f>"202305072307"</f>
        <v>202305072307</v>
      </c>
      <c r="E78" s="16">
        <v>93</v>
      </c>
      <c r="F78" s="17">
        <v>92</v>
      </c>
      <c r="G78" s="13">
        <f t="shared" si="3"/>
        <v>185</v>
      </c>
      <c r="H78" s="18"/>
    </row>
    <row r="79" spans="1:8" s="2" customFormat="1" ht="18.75">
      <c r="A79" s="13">
        <v>77</v>
      </c>
      <c r="B79" s="14" t="str">
        <f aca="true" t="shared" si="5" ref="B79:B84">"202301023"</f>
        <v>202301023</v>
      </c>
      <c r="C79" s="15" t="str">
        <f>"叶思玉"</f>
        <v>叶思玉</v>
      </c>
      <c r="D79" s="15" t="str">
        <f>"202305072321"</f>
        <v>202305072321</v>
      </c>
      <c r="E79" s="16">
        <v>93.1</v>
      </c>
      <c r="F79" s="17">
        <v>123.5</v>
      </c>
      <c r="G79" s="13">
        <f aca="true" t="shared" si="6" ref="G79:G115">SUM(E79:F79)</f>
        <v>216.6</v>
      </c>
      <c r="H79" s="18"/>
    </row>
    <row r="80" spans="1:8" s="2" customFormat="1" ht="18.75">
      <c r="A80" s="13">
        <v>78</v>
      </c>
      <c r="B80" s="14" t="str">
        <f t="shared" si="5"/>
        <v>202301023</v>
      </c>
      <c r="C80" s="15" t="str">
        <f>"陆龙飞"</f>
        <v>陆龙飞</v>
      </c>
      <c r="D80" s="15" t="str">
        <f>"202305072308"</f>
        <v>202305072308</v>
      </c>
      <c r="E80" s="16">
        <v>89.7</v>
      </c>
      <c r="F80" s="17">
        <v>119.5</v>
      </c>
      <c r="G80" s="13">
        <f t="shared" si="6"/>
        <v>209.2</v>
      </c>
      <c r="H80" s="18"/>
    </row>
    <row r="81" spans="1:8" s="2" customFormat="1" ht="18.75">
      <c r="A81" s="13">
        <v>79</v>
      </c>
      <c r="B81" s="14" t="str">
        <f t="shared" si="5"/>
        <v>202301023</v>
      </c>
      <c r="C81" s="15" t="str">
        <f>"许傲男"</f>
        <v>许傲男</v>
      </c>
      <c r="D81" s="15" t="str">
        <f>"202305072310"</f>
        <v>202305072310</v>
      </c>
      <c r="E81" s="16">
        <v>88.5</v>
      </c>
      <c r="F81" s="17">
        <v>109.5</v>
      </c>
      <c r="G81" s="13">
        <f t="shared" si="6"/>
        <v>198</v>
      </c>
      <c r="H81" s="18"/>
    </row>
    <row r="82" spans="1:8" s="2" customFormat="1" ht="18.75">
      <c r="A82" s="13">
        <v>80</v>
      </c>
      <c r="B82" s="14" t="str">
        <f t="shared" si="5"/>
        <v>202301023</v>
      </c>
      <c r="C82" s="15" t="str">
        <f>"印明振"</f>
        <v>印明振</v>
      </c>
      <c r="D82" s="15" t="str">
        <f>"202305072313"</f>
        <v>202305072313</v>
      </c>
      <c r="E82" s="16">
        <v>109</v>
      </c>
      <c r="F82" s="17">
        <v>88.5</v>
      </c>
      <c r="G82" s="13">
        <f t="shared" si="6"/>
        <v>197.5</v>
      </c>
      <c r="H82" s="18"/>
    </row>
    <row r="83" spans="1:8" s="2" customFormat="1" ht="18.75">
      <c r="A83" s="13">
        <v>81</v>
      </c>
      <c r="B83" s="14" t="str">
        <f t="shared" si="5"/>
        <v>202301023</v>
      </c>
      <c r="C83" s="15" t="str">
        <f>"金迎春"</f>
        <v>金迎春</v>
      </c>
      <c r="D83" s="15" t="str">
        <f>"202305072322"</f>
        <v>202305072322</v>
      </c>
      <c r="E83" s="16">
        <v>95.7</v>
      </c>
      <c r="F83" s="17">
        <v>99.5</v>
      </c>
      <c r="G83" s="13">
        <f t="shared" si="6"/>
        <v>195.2</v>
      </c>
      <c r="H83" s="18"/>
    </row>
    <row r="84" spans="1:8" s="2" customFormat="1" ht="18.75">
      <c r="A84" s="13">
        <v>82</v>
      </c>
      <c r="B84" s="14" t="str">
        <f t="shared" si="5"/>
        <v>202301023</v>
      </c>
      <c r="C84" s="15" t="str">
        <f>"段永琪"</f>
        <v>段永琪</v>
      </c>
      <c r="D84" s="15" t="str">
        <f>"202305072406"</f>
        <v>202305072406</v>
      </c>
      <c r="E84" s="16">
        <v>83.7</v>
      </c>
      <c r="F84" s="17">
        <v>111.5</v>
      </c>
      <c r="G84" s="13">
        <f t="shared" si="6"/>
        <v>195.2</v>
      </c>
      <c r="H84" s="18"/>
    </row>
    <row r="85" spans="1:8" ht="18.75">
      <c r="A85" s="13">
        <v>83</v>
      </c>
      <c r="B85" s="9" t="str">
        <f>"202301024"</f>
        <v>202301024</v>
      </c>
      <c r="C85" s="8" t="str">
        <f>"荣誉"</f>
        <v>荣誉</v>
      </c>
      <c r="D85" s="8" t="str">
        <f>"202305072419"</f>
        <v>202305072419</v>
      </c>
      <c r="E85" s="16">
        <v>100.4</v>
      </c>
      <c r="F85" s="17">
        <v>107.5</v>
      </c>
      <c r="G85" s="12">
        <f t="shared" si="6"/>
        <v>207.9</v>
      </c>
      <c r="H85" s="12"/>
    </row>
    <row r="86" spans="1:8" ht="18.75">
      <c r="A86" s="13">
        <v>84</v>
      </c>
      <c r="B86" s="9" t="str">
        <f>"202301024"</f>
        <v>202301024</v>
      </c>
      <c r="C86" s="8" t="str">
        <f>"胡筱"</f>
        <v>胡筱</v>
      </c>
      <c r="D86" s="8" t="str">
        <f>"202305072428"</f>
        <v>202305072428</v>
      </c>
      <c r="E86" s="16">
        <v>89.6</v>
      </c>
      <c r="F86" s="17">
        <v>114.5</v>
      </c>
      <c r="G86" s="12">
        <f t="shared" si="6"/>
        <v>204.1</v>
      </c>
      <c r="H86" s="12"/>
    </row>
    <row r="87" spans="1:8" ht="21" customHeight="1">
      <c r="A87" s="13">
        <v>85</v>
      </c>
      <c r="B87" s="9" t="str">
        <f>"202301024"</f>
        <v>202301024</v>
      </c>
      <c r="C87" s="8" t="str">
        <f>"程志强"</f>
        <v>程志强</v>
      </c>
      <c r="D87" s="8" t="str">
        <f>"202305072427"</f>
        <v>202305072427</v>
      </c>
      <c r="E87" s="16">
        <v>98.5</v>
      </c>
      <c r="F87" s="17">
        <v>102.5</v>
      </c>
      <c r="G87" s="12">
        <f t="shared" si="6"/>
        <v>201</v>
      </c>
      <c r="H87" s="12"/>
    </row>
    <row r="88" spans="1:8" ht="18.75">
      <c r="A88" s="13">
        <v>86</v>
      </c>
      <c r="B88" s="9" t="str">
        <f>"202301025"</f>
        <v>202301025</v>
      </c>
      <c r="C88" s="8" t="str">
        <f>"赵良志"</f>
        <v>赵良志</v>
      </c>
      <c r="D88" s="8" t="str">
        <f>"202305072605"</f>
        <v>202305072605</v>
      </c>
      <c r="E88" s="16">
        <v>95.2</v>
      </c>
      <c r="F88" s="17">
        <v>113.5</v>
      </c>
      <c r="G88" s="12">
        <f t="shared" si="6"/>
        <v>208.7</v>
      </c>
      <c r="H88" s="12"/>
    </row>
    <row r="89" spans="1:8" ht="18.75">
      <c r="A89" s="13">
        <v>87</v>
      </c>
      <c r="B89" s="9" t="str">
        <f>"202301025"</f>
        <v>202301025</v>
      </c>
      <c r="C89" s="8" t="str">
        <f>"吴情芬"</f>
        <v>吴情芬</v>
      </c>
      <c r="D89" s="8" t="str">
        <f>"202305072603"</f>
        <v>202305072603</v>
      </c>
      <c r="E89" s="16">
        <v>100.1</v>
      </c>
      <c r="F89" s="17">
        <v>105</v>
      </c>
      <c r="G89" s="12">
        <f t="shared" si="6"/>
        <v>205.1</v>
      </c>
      <c r="H89" s="12"/>
    </row>
    <row r="90" spans="1:8" ht="18.75">
      <c r="A90" s="13">
        <v>88</v>
      </c>
      <c r="B90" s="9" t="str">
        <f>"202301025"</f>
        <v>202301025</v>
      </c>
      <c r="C90" s="8" t="str">
        <f>"张兴泰"</f>
        <v>张兴泰</v>
      </c>
      <c r="D90" s="8" t="str">
        <f>"202305072601"</f>
        <v>202305072601</v>
      </c>
      <c r="E90" s="19">
        <v>89.4</v>
      </c>
      <c r="F90" s="17">
        <v>111.5</v>
      </c>
      <c r="G90" s="12">
        <f t="shared" si="6"/>
        <v>200.9</v>
      </c>
      <c r="H90" s="12"/>
    </row>
    <row r="91" spans="1:8" ht="18.75">
      <c r="A91" s="13">
        <v>89</v>
      </c>
      <c r="B91" s="9" t="str">
        <f>"202301026"</f>
        <v>202301026</v>
      </c>
      <c r="C91" s="8" t="str">
        <f>"朱亚茹"</f>
        <v>朱亚茹</v>
      </c>
      <c r="D91" s="8" t="str">
        <f>"202305072610"</f>
        <v>202305072610</v>
      </c>
      <c r="E91" s="16">
        <v>92.8</v>
      </c>
      <c r="F91" s="17">
        <v>106.5</v>
      </c>
      <c r="G91" s="12">
        <f t="shared" si="6"/>
        <v>199.3</v>
      </c>
      <c r="H91" s="12"/>
    </row>
    <row r="92" spans="1:8" ht="18.75">
      <c r="A92" s="13">
        <v>90</v>
      </c>
      <c r="B92" s="9" t="str">
        <f>"202301026"</f>
        <v>202301026</v>
      </c>
      <c r="C92" s="8" t="str">
        <f>"陆志成"</f>
        <v>陆志成</v>
      </c>
      <c r="D92" s="8" t="str">
        <f>"202305072613"</f>
        <v>202305072613</v>
      </c>
      <c r="E92" s="19">
        <v>92.7</v>
      </c>
      <c r="F92" s="17">
        <v>103.5</v>
      </c>
      <c r="G92" s="12">
        <f t="shared" si="6"/>
        <v>196.2</v>
      </c>
      <c r="H92" s="12"/>
    </row>
    <row r="93" spans="1:8" ht="18.75">
      <c r="A93" s="13">
        <v>91</v>
      </c>
      <c r="B93" s="9" t="str">
        <f>"202301026"</f>
        <v>202301026</v>
      </c>
      <c r="C93" s="8" t="str">
        <f>"解伟"</f>
        <v>解伟</v>
      </c>
      <c r="D93" s="8" t="str">
        <f>"202305072616"</f>
        <v>202305072616</v>
      </c>
      <c r="E93" s="16">
        <v>81.3</v>
      </c>
      <c r="F93" s="17">
        <v>111.5</v>
      </c>
      <c r="G93" s="12">
        <f t="shared" si="6"/>
        <v>192.8</v>
      </c>
      <c r="H93" s="12"/>
    </row>
    <row r="94" spans="1:8" ht="18.75">
      <c r="A94" s="13">
        <v>92</v>
      </c>
      <c r="B94" s="9" t="str">
        <f>"202301027"</f>
        <v>202301027</v>
      </c>
      <c r="C94" s="8" t="str">
        <f>"张杨"</f>
        <v>张杨</v>
      </c>
      <c r="D94" s="8" t="str">
        <f>"202305072709"</f>
        <v>202305072709</v>
      </c>
      <c r="E94" s="16">
        <v>95.7</v>
      </c>
      <c r="F94" s="17">
        <v>109.5</v>
      </c>
      <c r="G94" s="12">
        <f t="shared" si="6"/>
        <v>205.2</v>
      </c>
      <c r="H94" s="12"/>
    </row>
    <row r="95" spans="1:8" ht="18.75">
      <c r="A95" s="13">
        <v>93</v>
      </c>
      <c r="B95" s="9" t="str">
        <f>"202301027"</f>
        <v>202301027</v>
      </c>
      <c r="C95" s="8" t="str">
        <f>"吴晓波"</f>
        <v>吴晓波</v>
      </c>
      <c r="D95" s="8" t="str">
        <f>"202305072628"</f>
        <v>202305072628</v>
      </c>
      <c r="E95" s="16">
        <v>105.2</v>
      </c>
      <c r="F95" s="17">
        <v>93.5</v>
      </c>
      <c r="G95" s="12">
        <f t="shared" si="6"/>
        <v>198.7</v>
      </c>
      <c r="H95" s="12"/>
    </row>
    <row r="96" spans="1:8" ht="18.75">
      <c r="A96" s="13">
        <v>94</v>
      </c>
      <c r="B96" s="9" t="str">
        <f>"202301027"</f>
        <v>202301027</v>
      </c>
      <c r="C96" s="8" t="str">
        <f>"程鑫"</f>
        <v>程鑫</v>
      </c>
      <c r="D96" s="8" t="str">
        <f>"202305072626"</f>
        <v>202305072626</v>
      </c>
      <c r="E96" s="16">
        <v>101.3</v>
      </c>
      <c r="F96" s="17">
        <v>96.5</v>
      </c>
      <c r="G96" s="12">
        <f t="shared" si="6"/>
        <v>197.8</v>
      </c>
      <c r="H96" s="12"/>
    </row>
    <row r="97" spans="1:8" ht="18.75">
      <c r="A97" s="13">
        <v>95</v>
      </c>
      <c r="B97" s="9" t="str">
        <f>"202301028"</f>
        <v>202301028</v>
      </c>
      <c r="C97" s="8" t="str">
        <f>"朱墨池"</f>
        <v>朱墨池</v>
      </c>
      <c r="D97" s="8" t="str">
        <f>"202305072719"</f>
        <v>202305072719</v>
      </c>
      <c r="E97" s="16">
        <v>94.4</v>
      </c>
      <c r="F97" s="17">
        <v>120</v>
      </c>
      <c r="G97" s="12">
        <f aca="true" t="shared" si="7" ref="G97:G147">SUM(E97:F97)</f>
        <v>214.4</v>
      </c>
      <c r="H97" s="12"/>
    </row>
    <row r="98" spans="1:8" ht="18.75">
      <c r="A98" s="13">
        <v>96</v>
      </c>
      <c r="B98" s="9" t="str">
        <f>"202301028"</f>
        <v>202301028</v>
      </c>
      <c r="C98" s="8" t="str">
        <f>"高继慈"</f>
        <v>高继慈</v>
      </c>
      <c r="D98" s="8" t="str">
        <f>"202305072720"</f>
        <v>202305072720</v>
      </c>
      <c r="E98" s="16">
        <v>77.7</v>
      </c>
      <c r="F98" s="17">
        <v>92.5</v>
      </c>
      <c r="G98" s="12">
        <f t="shared" si="7"/>
        <v>170.2</v>
      </c>
      <c r="H98" s="12"/>
    </row>
    <row r="99" spans="1:8" ht="18.75">
      <c r="A99" s="13">
        <v>97</v>
      </c>
      <c r="B99" s="9" t="str">
        <f>"202301028"</f>
        <v>202301028</v>
      </c>
      <c r="C99" s="8" t="str">
        <f>"刘雪琴"</f>
        <v>刘雪琴</v>
      </c>
      <c r="D99" s="8" t="str">
        <f>"202305072721"</f>
        <v>202305072721</v>
      </c>
      <c r="E99" s="16">
        <v>93</v>
      </c>
      <c r="F99" s="17">
        <v>74.5</v>
      </c>
      <c r="G99" s="12">
        <f t="shared" si="7"/>
        <v>167.5</v>
      </c>
      <c r="H99" s="12"/>
    </row>
    <row r="100" spans="1:8" ht="18.75">
      <c r="A100" s="13">
        <v>98</v>
      </c>
      <c r="B100" s="9" t="str">
        <f>"202301029"</f>
        <v>202301029</v>
      </c>
      <c r="C100" s="8" t="str">
        <f>"王杰"</f>
        <v>王杰</v>
      </c>
      <c r="D100" s="8" t="str">
        <f>"202305072806"</f>
        <v>202305072806</v>
      </c>
      <c r="E100" s="16">
        <v>102.4</v>
      </c>
      <c r="F100" s="17">
        <v>101.5</v>
      </c>
      <c r="G100" s="12">
        <f t="shared" si="7"/>
        <v>203.9</v>
      </c>
      <c r="H100" s="12"/>
    </row>
    <row r="101" spans="1:8" ht="18.75">
      <c r="A101" s="13">
        <v>99</v>
      </c>
      <c r="B101" s="9" t="str">
        <f>"202301029"</f>
        <v>202301029</v>
      </c>
      <c r="C101" s="8" t="str">
        <f>"吕丽萍"</f>
        <v>吕丽萍</v>
      </c>
      <c r="D101" s="8" t="str">
        <f>"202305072816"</f>
        <v>202305072816</v>
      </c>
      <c r="E101" s="16">
        <v>94.2</v>
      </c>
      <c r="F101" s="17">
        <v>108</v>
      </c>
      <c r="G101" s="12">
        <f t="shared" si="7"/>
        <v>202.2</v>
      </c>
      <c r="H101" s="12"/>
    </row>
    <row r="102" spans="1:8" ht="18.75">
      <c r="A102" s="13">
        <v>100</v>
      </c>
      <c r="B102" s="9" t="str">
        <f>"202301029"</f>
        <v>202301029</v>
      </c>
      <c r="C102" s="8" t="str">
        <f>"胡玉伟"</f>
        <v>胡玉伟</v>
      </c>
      <c r="D102" s="8" t="str">
        <f>"202305072808"</f>
        <v>202305072808</v>
      </c>
      <c r="E102" s="16">
        <v>107</v>
      </c>
      <c r="F102" s="17">
        <v>95</v>
      </c>
      <c r="G102" s="12">
        <f t="shared" si="7"/>
        <v>202</v>
      </c>
      <c r="H102" s="12"/>
    </row>
    <row r="103" spans="1:8" ht="18.75">
      <c r="A103" s="13">
        <v>101</v>
      </c>
      <c r="B103" s="9" t="str">
        <f>"202301030"</f>
        <v>202301030</v>
      </c>
      <c r="C103" s="8" t="str">
        <f>"张玮祎"</f>
        <v>张玮祎</v>
      </c>
      <c r="D103" s="8" t="str">
        <f>"202305072821"</f>
        <v>202305072821</v>
      </c>
      <c r="E103" s="16">
        <v>101</v>
      </c>
      <c r="F103" s="17">
        <v>104</v>
      </c>
      <c r="G103" s="12">
        <f t="shared" si="7"/>
        <v>205</v>
      </c>
      <c r="H103" s="12"/>
    </row>
    <row r="104" spans="1:8" ht="18.75">
      <c r="A104" s="13">
        <v>102</v>
      </c>
      <c r="B104" s="9" t="str">
        <f>"202301030"</f>
        <v>202301030</v>
      </c>
      <c r="C104" s="8" t="str">
        <f>"李林霏"</f>
        <v>李林霏</v>
      </c>
      <c r="D104" s="8" t="str">
        <f>"202305072903"</f>
        <v>202305072903</v>
      </c>
      <c r="E104" s="16">
        <v>97.7</v>
      </c>
      <c r="F104" s="17">
        <v>107</v>
      </c>
      <c r="G104" s="12">
        <f t="shared" si="7"/>
        <v>204.7</v>
      </c>
      <c r="H104" s="12"/>
    </row>
    <row r="105" spans="1:8" ht="18.75">
      <c r="A105" s="13">
        <v>103</v>
      </c>
      <c r="B105" s="9" t="str">
        <f>"202301030"</f>
        <v>202301030</v>
      </c>
      <c r="C105" s="8" t="str">
        <f>"陆一"</f>
        <v>陆一</v>
      </c>
      <c r="D105" s="8" t="str">
        <f>"202305072901"</f>
        <v>202305072901</v>
      </c>
      <c r="E105" s="16">
        <v>92.2</v>
      </c>
      <c r="F105" s="17">
        <v>111</v>
      </c>
      <c r="G105" s="12">
        <f t="shared" si="7"/>
        <v>203.2</v>
      </c>
      <c r="H105" s="12"/>
    </row>
    <row r="106" spans="1:8" ht="18.75">
      <c r="A106" s="13">
        <v>104</v>
      </c>
      <c r="B106" s="9" t="str">
        <f>"202301031"</f>
        <v>202301031</v>
      </c>
      <c r="C106" s="8" t="str">
        <f>"李婉"</f>
        <v>李婉</v>
      </c>
      <c r="D106" s="8" t="str">
        <f>"202305072924"</f>
        <v>202305072924</v>
      </c>
      <c r="E106" s="16">
        <v>103.5</v>
      </c>
      <c r="F106" s="17">
        <v>105</v>
      </c>
      <c r="G106" s="12">
        <f t="shared" si="7"/>
        <v>208.5</v>
      </c>
      <c r="H106" s="12"/>
    </row>
    <row r="107" spans="1:8" ht="18.75">
      <c r="A107" s="13">
        <v>105</v>
      </c>
      <c r="B107" s="9" t="str">
        <f>"202301031"</f>
        <v>202301031</v>
      </c>
      <c r="C107" s="8" t="str">
        <f>"杜心语"</f>
        <v>杜心语</v>
      </c>
      <c r="D107" s="8" t="str">
        <f>"202305073005"</f>
        <v>202305073005</v>
      </c>
      <c r="E107" s="16">
        <v>100.2</v>
      </c>
      <c r="F107" s="17">
        <v>104.5</v>
      </c>
      <c r="G107" s="12">
        <f t="shared" si="7"/>
        <v>204.7</v>
      </c>
      <c r="H107" s="12"/>
    </row>
    <row r="108" spans="1:8" ht="18.75">
      <c r="A108" s="13">
        <v>106</v>
      </c>
      <c r="B108" s="9" t="str">
        <f>"202301031"</f>
        <v>202301031</v>
      </c>
      <c r="C108" s="8" t="str">
        <f>"李润"</f>
        <v>李润</v>
      </c>
      <c r="D108" s="8" t="str">
        <f>"202305072915"</f>
        <v>202305072915</v>
      </c>
      <c r="E108" s="16">
        <v>87.3</v>
      </c>
      <c r="F108" s="17">
        <v>114.5</v>
      </c>
      <c r="G108" s="12">
        <f t="shared" si="7"/>
        <v>201.8</v>
      </c>
      <c r="H108" s="12"/>
    </row>
    <row r="109" spans="1:8" ht="18.75">
      <c r="A109" s="13">
        <v>107</v>
      </c>
      <c r="B109" s="9" t="str">
        <f>"202301032"</f>
        <v>202301032</v>
      </c>
      <c r="C109" s="8" t="str">
        <f>"祖晋锋"</f>
        <v>祖晋锋</v>
      </c>
      <c r="D109" s="8" t="str">
        <f>"202305073025"</f>
        <v>202305073025</v>
      </c>
      <c r="E109" s="16">
        <v>116</v>
      </c>
      <c r="F109" s="17">
        <v>105.5</v>
      </c>
      <c r="G109" s="12">
        <f t="shared" si="7"/>
        <v>221.5</v>
      </c>
      <c r="H109" s="12"/>
    </row>
    <row r="110" spans="1:8" ht="18.75">
      <c r="A110" s="13">
        <v>108</v>
      </c>
      <c r="B110" s="9" t="str">
        <f>"202301032"</f>
        <v>202301032</v>
      </c>
      <c r="C110" s="8" t="str">
        <f>"黎鸿伟"</f>
        <v>黎鸿伟</v>
      </c>
      <c r="D110" s="8" t="str">
        <f>"202305073028"</f>
        <v>202305073028</v>
      </c>
      <c r="E110" s="16">
        <v>106.4</v>
      </c>
      <c r="F110" s="17">
        <v>102</v>
      </c>
      <c r="G110" s="12">
        <f t="shared" si="7"/>
        <v>208.4</v>
      </c>
      <c r="H110" s="12"/>
    </row>
    <row r="111" spans="1:8" ht="18.75">
      <c r="A111" s="13">
        <v>109</v>
      </c>
      <c r="B111" s="9" t="str">
        <f>"202301032"</f>
        <v>202301032</v>
      </c>
      <c r="C111" s="8" t="str">
        <f>"张宇"</f>
        <v>张宇</v>
      </c>
      <c r="D111" s="8" t="str">
        <f>"202305073029"</f>
        <v>202305073029</v>
      </c>
      <c r="E111" s="16">
        <v>93.8</v>
      </c>
      <c r="F111" s="17">
        <v>114.5</v>
      </c>
      <c r="G111" s="12">
        <f t="shared" si="7"/>
        <v>208.3</v>
      </c>
      <c r="H111" s="12"/>
    </row>
    <row r="112" spans="1:8" ht="18.75">
      <c r="A112" s="13">
        <v>110</v>
      </c>
      <c r="B112" s="9" t="str">
        <f>"202301033"</f>
        <v>202301033</v>
      </c>
      <c r="C112" s="8" t="str">
        <f>"孟雅楠"</f>
        <v>孟雅楠</v>
      </c>
      <c r="D112" s="8" t="str">
        <f>"202305073215"</f>
        <v>202305073215</v>
      </c>
      <c r="E112" s="16">
        <v>92.4</v>
      </c>
      <c r="F112" s="17">
        <v>113</v>
      </c>
      <c r="G112" s="12">
        <f t="shared" si="7"/>
        <v>205.4</v>
      </c>
      <c r="H112" s="12"/>
    </row>
    <row r="113" spans="1:8" ht="18.75">
      <c r="A113" s="13">
        <v>111</v>
      </c>
      <c r="B113" s="9" t="str">
        <f>"202301033"</f>
        <v>202301033</v>
      </c>
      <c r="C113" s="8" t="str">
        <f>"曹冉"</f>
        <v>曹冉</v>
      </c>
      <c r="D113" s="8" t="str">
        <f>"202305073203"</f>
        <v>202305073203</v>
      </c>
      <c r="E113" s="16">
        <v>98</v>
      </c>
      <c r="F113" s="17">
        <v>106</v>
      </c>
      <c r="G113" s="12">
        <f t="shared" si="7"/>
        <v>204</v>
      </c>
      <c r="H113" s="12"/>
    </row>
    <row r="114" spans="1:8" ht="18.75">
      <c r="A114" s="13">
        <v>112</v>
      </c>
      <c r="B114" s="9" t="str">
        <f>"202301033"</f>
        <v>202301033</v>
      </c>
      <c r="C114" s="8" t="str">
        <f>"王星晨"</f>
        <v>王星晨</v>
      </c>
      <c r="D114" s="8" t="str">
        <f>"202305073124"</f>
        <v>202305073124</v>
      </c>
      <c r="E114" s="16">
        <v>87.6</v>
      </c>
      <c r="F114" s="17">
        <v>116</v>
      </c>
      <c r="G114" s="12">
        <f t="shared" si="7"/>
        <v>203.6</v>
      </c>
      <c r="H114" s="12"/>
    </row>
    <row r="115" spans="1:8" ht="18.75">
      <c r="A115" s="13">
        <v>113</v>
      </c>
      <c r="B115" s="9" t="str">
        <f>"202301034"</f>
        <v>202301034</v>
      </c>
      <c r="C115" s="8" t="str">
        <f>"赵龙"</f>
        <v>赵龙</v>
      </c>
      <c r="D115" s="8" t="str">
        <f>"202305073301"</f>
        <v>202305073301</v>
      </c>
      <c r="E115" s="16">
        <v>111.5</v>
      </c>
      <c r="F115" s="17">
        <v>90</v>
      </c>
      <c r="G115" s="12">
        <f t="shared" si="7"/>
        <v>201.5</v>
      </c>
      <c r="H115" s="12"/>
    </row>
    <row r="116" spans="1:8" ht="18.75">
      <c r="A116" s="13">
        <v>114</v>
      </c>
      <c r="B116" s="9" t="str">
        <f>"202301034"</f>
        <v>202301034</v>
      </c>
      <c r="C116" s="8" t="str">
        <f>"徐心安"</f>
        <v>徐心安</v>
      </c>
      <c r="D116" s="8" t="str">
        <f>"202305073228"</f>
        <v>202305073228</v>
      </c>
      <c r="E116" s="16">
        <v>94.6</v>
      </c>
      <c r="F116" s="17">
        <v>106</v>
      </c>
      <c r="G116" s="12">
        <f t="shared" si="7"/>
        <v>200.6</v>
      </c>
      <c r="H116" s="12"/>
    </row>
    <row r="117" spans="1:8" ht="18.75">
      <c r="A117" s="13">
        <v>115</v>
      </c>
      <c r="B117" s="9" t="str">
        <f>"202301034"</f>
        <v>202301034</v>
      </c>
      <c r="C117" s="8" t="str">
        <f>"谢辉"</f>
        <v>谢辉</v>
      </c>
      <c r="D117" s="8" t="str">
        <f>"202305073313"</f>
        <v>202305073313</v>
      </c>
      <c r="E117" s="16">
        <v>92</v>
      </c>
      <c r="F117" s="17">
        <v>103.5</v>
      </c>
      <c r="G117" s="12">
        <f t="shared" si="7"/>
        <v>195.5</v>
      </c>
      <c r="H117" s="12"/>
    </row>
    <row r="118" spans="1:8" ht="18.75">
      <c r="A118" s="13">
        <v>116</v>
      </c>
      <c r="B118" s="9" t="str">
        <f>"202301035"</f>
        <v>202301035</v>
      </c>
      <c r="C118" s="8" t="str">
        <f>"林敏"</f>
        <v>林敏</v>
      </c>
      <c r="D118" s="8" t="str">
        <f>"202305073402"</f>
        <v>202305073402</v>
      </c>
      <c r="E118" s="19">
        <v>96.2</v>
      </c>
      <c r="F118" s="17">
        <v>118.5</v>
      </c>
      <c r="G118" s="12">
        <f t="shared" si="7"/>
        <v>214.7</v>
      </c>
      <c r="H118" s="12"/>
    </row>
    <row r="119" spans="1:8" ht="18.75">
      <c r="A119" s="13">
        <v>117</v>
      </c>
      <c r="B119" s="9" t="str">
        <f>"202301035"</f>
        <v>202301035</v>
      </c>
      <c r="C119" s="8" t="str">
        <f>"杨婕"</f>
        <v>杨婕</v>
      </c>
      <c r="D119" s="8" t="str">
        <f>"202305073409"</f>
        <v>202305073409</v>
      </c>
      <c r="E119" s="16">
        <v>81.1</v>
      </c>
      <c r="F119" s="17">
        <v>112</v>
      </c>
      <c r="G119" s="12">
        <f t="shared" si="7"/>
        <v>193.1</v>
      </c>
      <c r="H119" s="12"/>
    </row>
    <row r="120" spans="1:8" ht="18.75">
      <c r="A120" s="13">
        <v>118</v>
      </c>
      <c r="B120" s="9" t="str">
        <f>"202301035"</f>
        <v>202301035</v>
      </c>
      <c r="C120" s="8" t="str">
        <f>"唐朝"</f>
        <v>唐朝</v>
      </c>
      <c r="D120" s="8" t="str">
        <f>"202305073408"</f>
        <v>202305073408</v>
      </c>
      <c r="E120" s="16">
        <v>82.8</v>
      </c>
      <c r="F120" s="17">
        <v>103</v>
      </c>
      <c r="G120" s="12">
        <f t="shared" si="7"/>
        <v>185.8</v>
      </c>
      <c r="H120" s="12"/>
    </row>
    <row r="121" spans="1:8" ht="18.75">
      <c r="A121" s="13">
        <v>119</v>
      </c>
      <c r="B121" s="9" t="str">
        <f>"202301036"</f>
        <v>202301036</v>
      </c>
      <c r="C121" s="8" t="str">
        <f>"曹凯月"</f>
        <v>曹凯月</v>
      </c>
      <c r="D121" s="8" t="str">
        <f>"202305073423"</f>
        <v>202305073423</v>
      </c>
      <c r="E121" s="16">
        <v>100.4</v>
      </c>
      <c r="F121" s="17">
        <v>107.5</v>
      </c>
      <c r="G121" s="12">
        <f t="shared" si="7"/>
        <v>207.9</v>
      </c>
      <c r="H121" s="12"/>
    </row>
    <row r="122" spans="1:8" ht="18.75">
      <c r="A122" s="13">
        <v>120</v>
      </c>
      <c r="B122" s="9" t="str">
        <f>"202301036"</f>
        <v>202301036</v>
      </c>
      <c r="C122" s="8" t="str">
        <f>"孙羽菲"</f>
        <v>孙羽菲</v>
      </c>
      <c r="D122" s="8" t="str">
        <f>"202305073411"</f>
        <v>202305073411</v>
      </c>
      <c r="E122" s="16">
        <v>93.7</v>
      </c>
      <c r="F122" s="17">
        <v>109</v>
      </c>
      <c r="G122" s="12">
        <f t="shared" si="7"/>
        <v>202.7</v>
      </c>
      <c r="H122" s="12"/>
    </row>
    <row r="123" spans="1:8" ht="18.75">
      <c r="A123" s="13">
        <v>121</v>
      </c>
      <c r="B123" s="9" t="str">
        <f>"202301036"</f>
        <v>202301036</v>
      </c>
      <c r="C123" s="8" t="str">
        <f>"王家轶"</f>
        <v>王家轶</v>
      </c>
      <c r="D123" s="8" t="str">
        <f>"202305073424"</f>
        <v>202305073424</v>
      </c>
      <c r="E123" s="16">
        <v>93.8</v>
      </c>
      <c r="F123" s="17">
        <v>108.5</v>
      </c>
      <c r="G123" s="12">
        <f t="shared" si="7"/>
        <v>202.3</v>
      </c>
      <c r="H123" s="12"/>
    </row>
    <row r="124" spans="1:8" ht="18.75">
      <c r="A124" s="13">
        <v>122</v>
      </c>
      <c r="B124" s="9" t="str">
        <f>"202301037"</f>
        <v>202301037</v>
      </c>
      <c r="C124" s="8" t="str">
        <f>"赵梦泽"</f>
        <v>赵梦泽</v>
      </c>
      <c r="D124" s="8" t="str">
        <f>"202305073520"</f>
        <v>202305073520</v>
      </c>
      <c r="E124" s="16">
        <v>107.2</v>
      </c>
      <c r="F124" s="17">
        <v>100</v>
      </c>
      <c r="G124" s="12">
        <f t="shared" si="7"/>
        <v>207.2</v>
      </c>
      <c r="H124" s="12"/>
    </row>
    <row r="125" spans="1:8" ht="18.75">
      <c r="A125" s="13">
        <v>123</v>
      </c>
      <c r="B125" s="9" t="str">
        <f>"202301037"</f>
        <v>202301037</v>
      </c>
      <c r="C125" s="8" t="str">
        <f>"蒋永琪"</f>
        <v>蒋永琪</v>
      </c>
      <c r="D125" s="8" t="str">
        <f>"202305073516"</f>
        <v>202305073516</v>
      </c>
      <c r="E125" s="16">
        <v>94</v>
      </c>
      <c r="F125" s="17">
        <v>110</v>
      </c>
      <c r="G125" s="12">
        <f t="shared" si="7"/>
        <v>204</v>
      </c>
      <c r="H125" s="12"/>
    </row>
    <row r="126" spans="1:8" ht="18.75">
      <c r="A126" s="13">
        <v>124</v>
      </c>
      <c r="B126" s="9" t="str">
        <f>"202301037"</f>
        <v>202301037</v>
      </c>
      <c r="C126" s="8" t="str">
        <f>"张晓桐"</f>
        <v>张晓桐</v>
      </c>
      <c r="D126" s="8" t="str">
        <f>"202305073521"</f>
        <v>202305073521</v>
      </c>
      <c r="E126" s="16">
        <v>85.2</v>
      </c>
      <c r="F126" s="17">
        <v>113.5</v>
      </c>
      <c r="G126" s="12">
        <f t="shared" si="7"/>
        <v>198.7</v>
      </c>
      <c r="H126" s="12"/>
    </row>
    <row r="127" spans="1:8" ht="18.75">
      <c r="A127" s="13">
        <v>125</v>
      </c>
      <c r="B127" s="9" t="str">
        <f>"202301038"</f>
        <v>202301038</v>
      </c>
      <c r="C127" s="8" t="str">
        <f>"梁文静"</f>
        <v>梁文静</v>
      </c>
      <c r="D127" s="8" t="str">
        <f>"202305073719"</f>
        <v>202305073719</v>
      </c>
      <c r="E127" s="16">
        <v>108.7</v>
      </c>
      <c r="F127" s="17">
        <v>106</v>
      </c>
      <c r="G127" s="12">
        <f t="shared" si="7"/>
        <v>214.7</v>
      </c>
      <c r="H127" s="12"/>
    </row>
    <row r="128" spans="1:8" ht="18.75">
      <c r="A128" s="13">
        <v>126</v>
      </c>
      <c r="B128" s="9" t="str">
        <f>"202301038"</f>
        <v>202301038</v>
      </c>
      <c r="C128" s="8" t="str">
        <f>"赵玲玲"</f>
        <v>赵玲玲</v>
      </c>
      <c r="D128" s="8" t="str">
        <f>"202305073614"</f>
        <v>202305073614</v>
      </c>
      <c r="E128" s="16">
        <v>102.9</v>
      </c>
      <c r="F128" s="17">
        <v>104</v>
      </c>
      <c r="G128" s="12">
        <f t="shared" si="7"/>
        <v>206.9</v>
      </c>
      <c r="H128" s="12"/>
    </row>
    <row r="129" spans="1:8" ht="18.75">
      <c r="A129" s="13">
        <v>127</v>
      </c>
      <c r="B129" s="9" t="str">
        <f>"202301038"</f>
        <v>202301038</v>
      </c>
      <c r="C129" s="8" t="str">
        <f>"王逸达"</f>
        <v>王逸达</v>
      </c>
      <c r="D129" s="8" t="str">
        <f>"202305073622"</f>
        <v>202305073622</v>
      </c>
      <c r="E129" s="16">
        <v>101.7</v>
      </c>
      <c r="F129" s="17">
        <v>102</v>
      </c>
      <c r="G129" s="12">
        <f t="shared" si="7"/>
        <v>203.7</v>
      </c>
      <c r="H129" s="12"/>
    </row>
    <row r="130" spans="1:8" ht="18.75">
      <c r="A130" s="13">
        <v>128</v>
      </c>
      <c r="B130" s="9" t="str">
        <f>"202301039"</f>
        <v>202301039</v>
      </c>
      <c r="C130" s="8" t="str">
        <f>"李新龙"</f>
        <v>李新龙</v>
      </c>
      <c r="D130" s="8" t="str">
        <f>"202305073807"</f>
        <v>202305073807</v>
      </c>
      <c r="E130" s="16">
        <v>107</v>
      </c>
      <c r="F130" s="17">
        <v>100.5</v>
      </c>
      <c r="G130" s="12">
        <f t="shared" si="7"/>
        <v>207.5</v>
      </c>
      <c r="H130" s="12"/>
    </row>
    <row r="131" spans="1:8" ht="18.75">
      <c r="A131" s="13">
        <v>129</v>
      </c>
      <c r="B131" s="9" t="str">
        <f>"202301039"</f>
        <v>202301039</v>
      </c>
      <c r="C131" s="8" t="str">
        <f>"詹莹武"</f>
        <v>詹莹武</v>
      </c>
      <c r="D131" s="8" t="str">
        <f>"202305073813"</f>
        <v>202305073813</v>
      </c>
      <c r="E131" s="16">
        <v>85.8</v>
      </c>
      <c r="F131" s="17">
        <v>113</v>
      </c>
      <c r="G131" s="12">
        <f t="shared" si="7"/>
        <v>198.8</v>
      </c>
      <c r="H131" s="12"/>
    </row>
    <row r="132" spans="1:8" ht="18.75">
      <c r="A132" s="13">
        <v>130</v>
      </c>
      <c r="B132" s="9" t="str">
        <f>"202301039"</f>
        <v>202301039</v>
      </c>
      <c r="C132" s="8" t="str">
        <f>"孟琪"</f>
        <v>孟琪</v>
      </c>
      <c r="D132" s="8" t="str">
        <f>"202305073728"</f>
        <v>202305073728</v>
      </c>
      <c r="E132" s="16">
        <v>98.9</v>
      </c>
      <c r="F132" s="17">
        <v>94</v>
      </c>
      <c r="G132" s="12">
        <f t="shared" si="7"/>
        <v>192.9</v>
      </c>
      <c r="H132" s="12"/>
    </row>
    <row r="133" spans="1:8" ht="18.75">
      <c r="A133" s="13">
        <v>131</v>
      </c>
      <c r="B133" s="9" t="str">
        <f>"202301040"</f>
        <v>202301040</v>
      </c>
      <c r="C133" s="8" t="str">
        <f>"邓雅琪"</f>
        <v>邓雅琪</v>
      </c>
      <c r="D133" s="8" t="str">
        <f>"202305073908"</f>
        <v>202305073908</v>
      </c>
      <c r="E133" s="16">
        <v>111.7</v>
      </c>
      <c r="F133" s="17">
        <v>103</v>
      </c>
      <c r="G133" s="12">
        <f t="shared" si="7"/>
        <v>214.7</v>
      </c>
      <c r="H133" s="12"/>
    </row>
    <row r="134" spans="1:8" ht="18.75">
      <c r="A134" s="13">
        <v>132</v>
      </c>
      <c r="B134" s="9" t="str">
        <f>"202301040"</f>
        <v>202301040</v>
      </c>
      <c r="C134" s="8" t="str">
        <f>"何汪洋"</f>
        <v>何汪洋</v>
      </c>
      <c r="D134" s="8" t="str">
        <f>"202305073902"</f>
        <v>202305073902</v>
      </c>
      <c r="E134" s="16">
        <v>103</v>
      </c>
      <c r="F134" s="17">
        <v>99</v>
      </c>
      <c r="G134" s="12">
        <f t="shared" si="7"/>
        <v>202</v>
      </c>
      <c r="H134" s="12"/>
    </row>
    <row r="135" spans="1:8" ht="18.75">
      <c r="A135" s="13">
        <v>133</v>
      </c>
      <c r="B135" s="9" t="str">
        <f>"202301040"</f>
        <v>202301040</v>
      </c>
      <c r="C135" s="8" t="str">
        <f>"胡宇"</f>
        <v>胡宇</v>
      </c>
      <c r="D135" s="8" t="str">
        <f>"202305073906"</f>
        <v>202305073906</v>
      </c>
      <c r="E135" s="16">
        <v>100.5</v>
      </c>
      <c r="F135" s="17">
        <v>94.5</v>
      </c>
      <c r="G135" s="12">
        <f t="shared" si="7"/>
        <v>195</v>
      </c>
      <c r="H135" s="12"/>
    </row>
    <row r="136" spans="1:8" ht="18.75">
      <c r="A136" s="13">
        <v>134</v>
      </c>
      <c r="B136" s="9" t="str">
        <f>"202301041"</f>
        <v>202301041</v>
      </c>
      <c r="C136" s="8" t="str">
        <f>"齐琳"</f>
        <v>齐琳</v>
      </c>
      <c r="D136" s="8" t="str">
        <f>"202305073919"</f>
        <v>202305073919</v>
      </c>
      <c r="E136" s="16">
        <v>113.9</v>
      </c>
      <c r="F136" s="17">
        <v>106</v>
      </c>
      <c r="G136" s="12">
        <f t="shared" si="7"/>
        <v>219.9</v>
      </c>
      <c r="H136" s="12"/>
    </row>
    <row r="137" spans="1:8" ht="18.75">
      <c r="A137" s="13">
        <v>135</v>
      </c>
      <c r="B137" s="9" t="str">
        <f>"202301041"</f>
        <v>202301041</v>
      </c>
      <c r="C137" s="8" t="str">
        <f>"朱伊冉"</f>
        <v>朱伊冉</v>
      </c>
      <c r="D137" s="8" t="str">
        <f>"202305074016"</f>
        <v>202305074016</v>
      </c>
      <c r="E137" s="16">
        <v>98.8</v>
      </c>
      <c r="F137" s="17">
        <v>109.5</v>
      </c>
      <c r="G137" s="12">
        <f t="shared" si="7"/>
        <v>208.3</v>
      </c>
      <c r="H137" s="12"/>
    </row>
    <row r="138" spans="1:8" ht="18.75">
      <c r="A138" s="13">
        <v>136</v>
      </c>
      <c r="B138" s="9" t="str">
        <f>"202301041"</f>
        <v>202301041</v>
      </c>
      <c r="C138" s="8" t="str">
        <f>"王志坤"</f>
        <v>王志坤</v>
      </c>
      <c r="D138" s="8" t="str">
        <f>"202305073911"</f>
        <v>202305073911</v>
      </c>
      <c r="E138" s="16">
        <v>101.8</v>
      </c>
      <c r="F138" s="17">
        <v>101.5</v>
      </c>
      <c r="G138" s="12">
        <f t="shared" si="7"/>
        <v>203.3</v>
      </c>
      <c r="H138" s="12"/>
    </row>
    <row r="139" spans="1:8" ht="18.75">
      <c r="A139" s="13">
        <v>137</v>
      </c>
      <c r="B139" s="9" t="str">
        <f>"202301042"</f>
        <v>202301042</v>
      </c>
      <c r="C139" s="8" t="str">
        <f>"尹文龙"</f>
        <v>尹文龙</v>
      </c>
      <c r="D139" s="8" t="str">
        <f>"202305074102"</f>
        <v>202305074102</v>
      </c>
      <c r="E139" s="16">
        <v>96.2</v>
      </c>
      <c r="F139" s="17">
        <v>105.5</v>
      </c>
      <c r="G139" s="12">
        <f t="shared" si="7"/>
        <v>201.7</v>
      </c>
      <c r="H139" s="12"/>
    </row>
    <row r="140" spans="1:8" ht="18.75">
      <c r="A140" s="13">
        <v>138</v>
      </c>
      <c r="B140" s="9" t="str">
        <f>"202301042"</f>
        <v>202301042</v>
      </c>
      <c r="C140" s="8" t="str">
        <f>"郜庚胜"</f>
        <v>郜庚胜</v>
      </c>
      <c r="D140" s="8" t="str">
        <f>"202305074106"</f>
        <v>202305074106</v>
      </c>
      <c r="E140" s="16">
        <v>97.6</v>
      </c>
      <c r="F140" s="17">
        <v>103</v>
      </c>
      <c r="G140" s="12">
        <f t="shared" si="7"/>
        <v>200.6</v>
      </c>
      <c r="H140" s="12"/>
    </row>
    <row r="141" spans="1:8" ht="18.75">
      <c r="A141" s="13">
        <v>139</v>
      </c>
      <c r="B141" s="9" t="str">
        <f>"202301042"</f>
        <v>202301042</v>
      </c>
      <c r="C141" s="8" t="str">
        <f>"胡腾"</f>
        <v>胡腾</v>
      </c>
      <c r="D141" s="8" t="str">
        <f>"202305074105"</f>
        <v>202305074105</v>
      </c>
      <c r="E141" s="16">
        <v>98.4</v>
      </c>
      <c r="F141" s="17">
        <v>96.5</v>
      </c>
      <c r="G141" s="12">
        <f t="shared" si="7"/>
        <v>194.9</v>
      </c>
      <c r="H141" s="12"/>
    </row>
    <row r="142" spans="1:8" ht="18.75">
      <c r="A142" s="13">
        <v>140</v>
      </c>
      <c r="B142" s="9" t="str">
        <f>"202301043"</f>
        <v>202301043</v>
      </c>
      <c r="C142" s="8" t="str">
        <f>"潘宇豪"</f>
        <v>潘宇豪</v>
      </c>
      <c r="D142" s="8" t="str">
        <f>"202305074123"</f>
        <v>202305074123</v>
      </c>
      <c r="E142" s="16">
        <v>87.4</v>
      </c>
      <c r="F142" s="17">
        <v>122.5</v>
      </c>
      <c r="G142" s="12">
        <f t="shared" si="7"/>
        <v>209.9</v>
      </c>
      <c r="H142" s="12"/>
    </row>
    <row r="143" spans="1:8" ht="18.75">
      <c r="A143" s="13">
        <v>141</v>
      </c>
      <c r="B143" s="9" t="str">
        <f>"202301043"</f>
        <v>202301043</v>
      </c>
      <c r="C143" s="8" t="str">
        <f>"刘蔓蔓"</f>
        <v>刘蔓蔓</v>
      </c>
      <c r="D143" s="8" t="str">
        <f>"202305074201"</f>
        <v>202305074201</v>
      </c>
      <c r="E143" s="16">
        <v>100.8</v>
      </c>
      <c r="F143" s="17">
        <v>105</v>
      </c>
      <c r="G143" s="12">
        <f t="shared" si="7"/>
        <v>205.8</v>
      </c>
      <c r="H143" s="12"/>
    </row>
    <row r="144" spans="1:8" ht="18.75">
      <c r="A144" s="13">
        <v>142</v>
      </c>
      <c r="B144" s="9" t="str">
        <f>"202301043"</f>
        <v>202301043</v>
      </c>
      <c r="C144" s="8" t="str">
        <f>"吴东旭"</f>
        <v>吴东旭</v>
      </c>
      <c r="D144" s="8" t="str">
        <f>"202305074130"</f>
        <v>202305074130</v>
      </c>
      <c r="E144" s="16">
        <v>77</v>
      </c>
      <c r="F144" s="17">
        <v>111</v>
      </c>
      <c r="G144" s="12">
        <f t="shared" si="7"/>
        <v>188</v>
      </c>
      <c r="H144" s="12"/>
    </row>
    <row r="145" spans="1:8" ht="18.75">
      <c r="A145" s="13">
        <v>143</v>
      </c>
      <c r="B145" s="9" t="str">
        <f>"202301044"</f>
        <v>202301044</v>
      </c>
      <c r="C145" s="8" t="str">
        <f>"武祝朋"</f>
        <v>武祝朋</v>
      </c>
      <c r="D145" s="8" t="str">
        <f>"202305074227"</f>
        <v>202305074227</v>
      </c>
      <c r="E145" s="16">
        <v>98</v>
      </c>
      <c r="F145" s="17">
        <v>108.5</v>
      </c>
      <c r="G145" s="12">
        <f t="shared" si="7"/>
        <v>206.5</v>
      </c>
      <c r="H145" s="12"/>
    </row>
    <row r="146" spans="1:8" ht="18.75">
      <c r="A146" s="13">
        <v>144</v>
      </c>
      <c r="B146" s="9" t="str">
        <f>"202301044"</f>
        <v>202301044</v>
      </c>
      <c r="C146" s="8" t="str">
        <f>"彭浪"</f>
        <v>彭浪</v>
      </c>
      <c r="D146" s="8" t="str">
        <f>"202305074307"</f>
        <v>202305074307</v>
      </c>
      <c r="E146" s="16">
        <v>94.6</v>
      </c>
      <c r="F146" s="17">
        <v>101.5</v>
      </c>
      <c r="G146" s="12">
        <f t="shared" si="7"/>
        <v>196.1</v>
      </c>
      <c r="H146" s="12"/>
    </row>
    <row r="147" spans="1:8" ht="18.75">
      <c r="A147" s="13">
        <v>145</v>
      </c>
      <c r="B147" s="9" t="str">
        <f>"202301044"</f>
        <v>202301044</v>
      </c>
      <c r="C147" s="8" t="str">
        <f>"刘革辛"</f>
        <v>刘革辛</v>
      </c>
      <c r="D147" s="8" t="str">
        <f>"202305074313"</f>
        <v>202305074313</v>
      </c>
      <c r="E147" s="16">
        <v>82.3</v>
      </c>
      <c r="F147" s="17">
        <v>112.5</v>
      </c>
      <c r="G147" s="12">
        <f t="shared" si="7"/>
        <v>194.8</v>
      </c>
      <c r="H147" s="12"/>
    </row>
    <row r="148" spans="1:8" ht="18.75">
      <c r="A148" s="13">
        <v>146</v>
      </c>
      <c r="B148" s="9" t="str">
        <f aca="true" t="shared" si="8" ref="B148:B162">"202301045"</f>
        <v>202301045</v>
      </c>
      <c r="C148" s="8" t="str">
        <f>"杨瑞娇"</f>
        <v>杨瑞娇</v>
      </c>
      <c r="D148" s="8" t="str">
        <f>"202305074319"</f>
        <v>202305074319</v>
      </c>
      <c r="E148" s="16">
        <v>90.2</v>
      </c>
      <c r="F148" s="17">
        <v>105.5</v>
      </c>
      <c r="G148" s="12">
        <f aca="true" t="shared" si="9" ref="G148:G211">SUM(E148:F148)</f>
        <v>195.7</v>
      </c>
      <c r="H148" s="12"/>
    </row>
    <row r="149" spans="1:8" ht="18.75">
      <c r="A149" s="13">
        <v>147</v>
      </c>
      <c r="B149" s="9" t="str">
        <f t="shared" si="8"/>
        <v>202301045</v>
      </c>
      <c r="C149" s="8" t="str">
        <f>"肖安然"</f>
        <v>肖安然</v>
      </c>
      <c r="D149" s="8" t="str">
        <f>"202305074321"</f>
        <v>202305074321</v>
      </c>
      <c r="E149" s="16">
        <v>91.9</v>
      </c>
      <c r="F149" s="17">
        <v>102.5</v>
      </c>
      <c r="G149" s="12">
        <f t="shared" si="9"/>
        <v>194.4</v>
      </c>
      <c r="H149" s="12"/>
    </row>
    <row r="150" spans="1:8" ht="18.75">
      <c r="A150" s="13">
        <v>148</v>
      </c>
      <c r="B150" s="9" t="str">
        <f t="shared" si="8"/>
        <v>202301045</v>
      </c>
      <c r="C150" s="8" t="str">
        <f>"赵世涛"</f>
        <v>赵世涛</v>
      </c>
      <c r="D150" s="8" t="str">
        <f>"202305074315"</f>
        <v>202305074315</v>
      </c>
      <c r="E150" s="16">
        <v>82.8</v>
      </c>
      <c r="F150" s="17">
        <v>106</v>
      </c>
      <c r="G150" s="12">
        <f t="shared" si="9"/>
        <v>188.8</v>
      </c>
      <c r="H150" s="12"/>
    </row>
    <row r="151" spans="1:8" ht="18.75">
      <c r="A151" s="13">
        <v>149</v>
      </c>
      <c r="B151" s="9" t="str">
        <f t="shared" si="8"/>
        <v>202301045</v>
      </c>
      <c r="C151" s="8" t="str">
        <f>"张丽凡"</f>
        <v>张丽凡</v>
      </c>
      <c r="D151" s="8" t="str">
        <f>"202305074320"</f>
        <v>202305074320</v>
      </c>
      <c r="E151" s="16">
        <v>84.9</v>
      </c>
      <c r="F151" s="17">
        <v>103.5</v>
      </c>
      <c r="G151" s="12">
        <f t="shared" si="9"/>
        <v>188.4</v>
      </c>
      <c r="H151" s="12"/>
    </row>
    <row r="152" spans="1:8" ht="18.75">
      <c r="A152" s="13">
        <v>150</v>
      </c>
      <c r="B152" s="9" t="str">
        <f t="shared" si="8"/>
        <v>202301045</v>
      </c>
      <c r="C152" s="8" t="str">
        <f>"王立国"</f>
        <v>王立国</v>
      </c>
      <c r="D152" s="8" t="str">
        <f>"202305074316"</f>
        <v>202305074316</v>
      </c>
      <c r="E152" s="16">
        <v>89.9</v>
      </c>
      <c r="F152" s="17">
        <v>98</v>
      </c>
      <c r="G152" s="12">
        <f t="shared" si="9"/>
        <v>187.9</v>
      </c>
      <c r="H152" s="12"/>
    </row>
    <row r="153" spans="1:8" ht="18.75">
      <c r="A153" s="13">
        <v>151</v>
      </c>
      <c r="B153" s="9" t="str">
        <f t="shared" si="8"/>
        <v>202301045</v>
      </c>
      <c r="C153" s="8" t="str">
        <f>"刘传志"</f>
        <v>刘传志</v>
      </c>
      <c r="D153" s="8" t="str">
        <f>"202305074317"</f>
        <v>202305074317</v>
      </c>
      <c r="E153" s="16">
        <v>91.9</v>
      </c>
      <c r="F153" s="17">
        <v>92.5</v>
      </c>
      <c r="G153" s="12">
        <f t="shared" si="9"/>
        <v>184.4</v>
      </c>
      <c r="H153" s="12"/>
    </row>
    <row r="154" spans="1:8" ht="18.75">
      <c r="A154" s="13">
        <v>152</v>
      </c>
      <c r="B154" s="9" t="str">
        <f aca="true" t="shared" si="10" ref="B154:B159">"202301046"</f>
        <v>202301046</v>
      </c>
      <c r="C154" s="8" t="str">
        <f>"张雪盈"</f>
        <v>张雪盈</v>
      </c>
      <c r="D154" s="8" t="str">
        <f>"202305074420"</f>
        <v>202305074420</v>
      </c>
      <c r="E154" s="16">
        <v>105.6</v>
      </c>
      <c r="F154" s="17">
        <v>108.5</v>
      </c>
      <c r="G154" s="12">
        <f t="shared" si="9"/>
        <v>214.1</v>
      </c>
      <c r="H154" s="12"/>
    </row>
    <row r="155" spans="1:8" ht="18.75">
      <c r="A155" s="13">
        <v>153</v>
      </c>
      <c r="B155" s="9" t="str">
        <f t="shared" si="10"/>
        <v>202301046</v>
      </c>
      <c r="C155" s="8" t="str">
        <f>"殷桃"</f>
        <v>殷桃</v>
      </c>
      <c r="D155" s="8" t="str">
        <f>"202305074430"</f>
        <v>202305074430</v>
      </c>
      <c r="E155" s="16">
        <v>102.8</v>
      </c>
      <c r="F155" s="17">
        <v>110.5</v>
      </c>
      <c r="G155" s="12">
        <f t="shared" si="9"/>
        <v>213.3</v>
      </c>
      <c r="H155" s="12"/>
    </row>
    <row r="156" spans="1:8" ht="15" customHeight="1">
      <c r="A156" s="13">
        <v>154</v>
      </c>
      <c r="B156" s="9" t="str">
        <f t="shared" si="10"/>
        <v>202301046</v>
      </c>
      <c r="C156" s="8" t="str">
        <f>"李吴杏子"</f>
        <v>李吴杏子</v>
      </c>
      <c r="D156" s="8" t="str">
        <f>"202305074425"</f>
        <v>202305074425</v>
      </c>
      <c r="E156" s="16">
        <v>101</v>
      </c>
      <c r="F156" s="17">
        <v>108.5</v>
      </c>
      <c r="G156" s="12">
        <f t="shared" si="9"/>
        <v>209.5</v>
      </c>
      <c r="H156" s="12"/>
    </row>
    <row r="157" spans="1:8" ht="18.75">
      <c r="A157" s="13">
        <v>155</v>
      </c>
      <c r="B157" s="9" t="str">
        <f t="shared" si="10"/>
        <v>202301046</v>
      </c>
      <c r="C157" s="8" t="str">
        <f>"王雅静"</f>
        <v>王雅静</v>
      </c>
      <c r="D157" s="8" t="str">
        <f>"202305074518"</f>
        <v>202305074518</v>
      </c>
      <c r="E157" s="16">
        <v>94.1</v>
      </c>
      <c r="F157" s="17">
        <v>114</v>
      </c>
      <c r="G157" s="12">
        <f t="shared" si="9"/>
        <v>208.1</v>
      </c>
      <c r="H157" s="12"/>
    </row>
    <row r="158" spans="1:8" ht="18.75">
      <c r="A158" s="13">
        <v>156</v>
      </c>
      <c r="B158" s="9" t="str">
        <f t="shared" si="10"/>
        <v>202301046</v>
      </c>
      <c r="C158" s="8" t="str">
        <f>"刘丽丽"</f>
        <v>刘丽丽</v>
      </c>
      <c r="D158" s="8" t="str">
        <f>"202305074517"</f>
        <v>202305074517</v>
      </c>
      <c r="E158" s="16">
        <v>89.5</v>
      </c>
      <c r="F158" s="17">
        <v>113.5</v>
      </c>
      <c r="G158" s="12">
        <f t="shared" si="9"/>
        <v>203</v>
      </c>
      <c r="H158" s="12"/>
    </row>
    <row r="159" spans="1:8" ht="18.75">
      <c r="A159" s="13">
        <v>157</v>
      </c>
      <c r="B159" s="9" t="str">
        <f t="shared" si="10"/>
        <v>202301046</v>
      </c>
      <c r="C159" s="8" t="str">
        <f>"尹根泰"</f>
        <v>尹根泰</v>
      </c>
      <c r="D159" s="8" t="str">
        <f>"202305074414"</f>
        <v>202305074414</v>
      </c>
      <c r="E159" s="16">
        <v>90.8</v>
      </c>
      <c r="F159" s="17">
        <v>112</v>
      </c>
      <c r="G159" s="12">
        <f t="shared" si="9"/>
        <v>202.8</v>
      </c>
      <c r="H159" s="12"/>
    </row>
    <row r="160" spans="1:8" ht="18.75">
      <c r="A160" s="13">
        <v>158</v>
      </c>
      <c r="B160" s="9" t="str">
        <f>"202301047"</f>
        <v>202301047</v>
      </c>
      <c r="C160" s="8" t="str">
        <f>"王月"</f>
        <v>王月</v>
      </c>
      <c r="D160" s="8" t="str">
        <f>"202305074528"</f>
        <v>202305074528</v>
      </c>
      <c r="E160" s="16">
        <v>104.5</v>
      </c>
      <c r="F160" s="17">
        <v>100.5</v>
      </c>
      <c r="G160" s="12">
        <f t="shared" si="9"/>
        <v>205</v>
      </c>
      <c r="H160" s="12"/>
    </row>
    <row r="161" spans="1:8" ht="18.75">
      <c r="A161" s="13">
        <v>159</v>
      </c>
      <c r="B161" s="9" t="str">
        <f>"202301047"</f>
        <v>202301047</v>
      </c>
      <c r="C161" s="8" t="str">
        <f>"赵红立"</f>
        <v>赵红立</v>
      </c>
      <c r="D161" s="8" t="str">
        <f>"202305074609"</f>
        <v>202305074609</v>
      </c>
      <c r="E161" s="16">
        <v>91.4</v>
      </c>
      <c r="F161" s="17">
        <v>105.5</v>
      </c>
      <c r="G161" s="12">
        <f t="shared" si="9"/>
        <v>196.9</v>
      </c>
      <c r="H161" s="12"/>
    </row>
    <row r="162" spans="1:8" ht="18.75">
      <c r="A162" s="13">
        <v>160</v>
      </c>
      <c r="B162" s="9" t="str">
        <f>"202301047"</f>
        <v>202301047</v>
      </c>
      <c r="C162" s="8" t="str">
        <f>"李曼玉"</f>
        <v>李曼玉</v>
      </c>
      <c r="D162" s="8" t="str">
        <f>"202305074608"</f>
        <v>202305074608</v>
      </c>
      <c r="E162" s="16">
        <v>89</v>
      </c>
      <c r="F162" s="17">
        <v>107.5</v>
      </c>
      <c r="G162" s="12">
        <f t="shared" si="9"/>
        <v>196.5</v>
      </c>
      <c r="H162" s="12"/>
    </row>
    <row r="163" spans="1:8" ht="18.75">
      <c r="A163" s="13">
        <v>161</v>
      </c>
      <c r="B163" s="9" t="str">
        <f>"202301048"</f>
        <v>202301048</v>
      </c>
      <c r="C163" s="8" t="str">
        <f>"谢世豪"</f>
        <v>谢世豪</v>
      </c>
      <c r="D163" s="8" t="str">
        <f>"202305074625"</f>
        <v>202305074625</v>
      </c>
      <c r="E163" s="16">
        <v>102.7</v>
      </c>
      <c r="F163" s="17">
        <v>89</v>
      </c>
      <c r="G163" s="12">
        <f t="shared" si="9"/>
        <v>191.7</v>
      </c>
      <c r="H163" s="12"/>
    </row>
    <row r="164" spans="1:8" ht="18.75">
      <c r="A164" s="13">
        <v>162</v>
      </c>
      <c r="B164" s="9" t="str">
        <f>"202301048"</f>
        <v>202301048</v>
      </c>
      <c r="C164" s="8" t="str">
        <f>"李培源"</f>
        <v>李培源</v>
      </c>
      <c r="D164" s="8" t="str">
        <f>"202305074708"</f>
        <v>202305074708</v>
      </c>
      <c r="E164" s="16">
        <v>97.9</v>
      </c>
      <c r="F164" s="17">
        <v>91.5</v>
      </c>
      <c r="G164" s="12">
        <f t="shared" si="9"/>
        <v>189.4</v>
      </c>
      <c r="H164" s="12"/>
    </row>
    <row r="165" spans="1:8" ht="18.75">
      <c r="A165" s="13">
        <v>163</v>
      </c>
      <c r="B165" s="9" t="str">
        <f>"202301048"</f>
        <v>202301048</v>
      </c>
      <c r="C165" s="8" t="str">
        <f>"曹清源"</f>
        <v>曹清源</v>
      </c>
      <c r="D165" s="8" t="str">
        <f>"202305074627"</f>
        <v>202305074627</v>
      </c>
      <c r="E165" s="19">
        <v>87</v>
      </c>
      <c r="F165" s="17">
        <v>100</v>
      </c>
      <c r="G165" s="12">
        <f t="shared" si="9"/>
        <v>187</v>
      </c>
      <c r="H165" s="12"/>
    </row>
    <row r="166" spans="1:8" ht="18.75">
      <c r="A166" s="13">
        <v>164</v>
      </c>
      <c r="B166" s="9" t="str">
        <f>"202301049"</f>
        <v>202301049</v>
      </c>
      <c r="C166" s="8" t="str">
        <f>"王绍璇"</f>
        <v>王绍璇</v>
      </c>
      <c r="D166" s="8" t="str">
        <f>"202305074725"</f>
        <v>202305074725</v>
      </c>
      <c r="E166" s="16">
        <v>103.4</v>
      </c>
      <c r="F166" s="17">
        <v>103.5</v>
      </c>
      <c r="G166" s="12">
        <f t="shared" si="9"/>
        <v>206.9</v>
      </c>
      <c r="H166" s="12"/>
    </row>
    <row r="167" spans="1:8" ht="16.5" customHeight="1">
      <c r="A167" s="13">
        <v>165</v>
      </c>
      <c r="B167" s="9" t="str">
        <f>"202301049"</f>
        <v>202301049</v>
      </c>
      <c r="C167" s="8" t="str">
        <f>"杨静"</f>
        <v>杨静</v>
      </c>
      <c r="D167" s="8" t="str">
        <f>"202305074801"</f>
        <v>202305074801</v>
      </c>
      <c r="E167" s="16">
        <v>103.4</v>
      </c>
      <c r="F167" s="17">
        <v>101.5</v>
      </c>
      <c r="G167" s="12">
        <f t="shared" si="9"/>
        <v>204.9</v>
      </c>
      <c r="H167" s="12"/>
    </row>
    <row r="168" spans="1:8" ht="18.75">
      <c r="A168" s="13">
        <v>166</v>
      </c>
      <c r="B168" s="9" t="str">
        <f>"202301049"</f>
        <v>202301049</v>
      </c>
      <c r="C168" s="8" t="str">
        <f>"韩东岳"</f>
        <v>韩东岳</v>
      </c>
      <c r="D168" s="8" t="str">
        <f>"202305074711"</f>
        <v>202305074711</v>
      </c>
      <c r="E168" s="16">
        <v>99.8</v>
      </c>
      <c r="F168" s="17">
        <v>93</v>
      </c>
      <c r="G168" s="12">
        <f t="shared" si="9"/>
        <v>192.8</v>
      </c>
      <c r="H168" s="12"/>
    </row>
    <row r="169" spans="1:8" ht="18.75">
      <c r="A169" s="13">
        <v>167</v>
      </c>
      <c r="B169" s="9" t="str">
        <f>"202301050"</f>
        <v>202301050</v>
      </c>
      <c r="C169" s="8" t="str">
        <f>"王鹏"</f>
        <v>王鹏</v>
      </c>
      <c r="D169" s="8" t="str">
        <f>"202305074813"</f>
        <v>202305074813</v>
      </c>
      <c r="E169" s="16">
        <v>90.8</v>
      </c>
      <c r="F169" s="17">
        <v>108.5</v>
      </c>
      <c r="G169" s="12">
        <f t="shared" si="9"/>
        <v>199.3</v>
      </c>
      <c r="H169" s="12"/>
    </row>
    <row r="170" spans="1:8" ht="18.75">
      <c r="A170" s="13">
        <v>168</v>
      </c>
      <c r="B170" s="9" t="str">
        <f>"202301050"</f>
        <v>202301050</v>
      </c>
      <c r="C170" s="8" t="str">
        <f>"沈晨"</f>
        <v>沈晨</v>
      </c>
      <c r="D170" s="8" t="str">
        <f>"202305074811"</f>
        <v>202305074811</v>
      </c>
      <c r="E170" s="16">
        <v>103.6</v>
      </c>
      <c r="F170" s="17">
        <v>89.5</v>
      </c>
      <c r="G170" s="12">
        <f t="shared" si="9"/>
        <v>193.1</v>
      </c>
      <c r="H170" s="12"/>
    </row>
    <row r="171" spans="1:8" ht="18.75">
      <c r="A171" s="13">
        <v>169</v>
      </c>
      <c r="B171" s="9" t="str">
        <f>"202301050"</f>
        <v>202301050</v>
      </c>
      <c r="C171" s="8" t="str">
        <f>"许紫璇"</f>
        <v>许紫璇</v>
      </c>
      <c r="D171" s="8" t="str">
        <f>"202305074806"</f>
        <v>202305074806</v>
      </c>
      <c r="E171" s="19">
        <v>80.7</v>
      </c>
      <c r="F171" s="17">
        <v>103.5</v>
      </c>
      <c r="G171" s="12">
        <f t="shared" si="9"/>
        <v>184.2</v>
      </c>
      <c r="H171" s="12"/>
    </row>
    <row r="172" spans="1:8" ht="18.75">
      <c r="A172" s="13">
        <v>170</v>
      </c>
      <c r="B172" s="9" t="str">
        <f>"202301051"</f>
        <v>202301051</v>
      </c>
      <c r="C172" s="8" t="str">
        <f>"顾世典"</f>
        <v>顾世典</v>
      </c>
      <c r="D172" s="8" t="str">
        <f>"202305074824"</f>
        <v>202305074824</v>
      </c>
      <c r="E172" s="16">
        <v>91.5</v>
      </c>
      <c r="F172" s="17">
        <v>112.5</v>
      </c>
      <c r="G172" s="12">
        <f t="shared" si="9"/>
        <v>204</v>
      </c>
      <c r="H172" s="12"/>
    </row>
    <row r="173" spans="1:8" ht="18.75">
      <c r="A173" s="13">
        <v>171</v>
      </c>
      <c r="B173" s="9" t="str">
        <f>"202301051"</f>
        <v>202301051</v>
      </c>
      <c r="C173" s="8" t="str">
        <f>"陈颖"</f>
        <v>陈颖</v>
      </c>
      <c r="D173" s="8" t="str">
        <f>"202305074821"</f>
        <v>202305074821</v>
      </c>
      <c r="E173" s="16">
        <v>87.3</v>
      </c>
      <c r="F173" s="17">
        <v>115.5</v>
      </c>
      <c r="G173" s="12">
        <f t="shared" si="9"/>
        <v>202.8</v>
      </c>
      <c r="H173" s="12"/>
    </row>
    <row r="174" spans="1:8" ht="18.75">
      <c r="A174" s="13">
        <v>172</v>
      </c>
      <c r="B174" s="9" t="str">
        <f>"202301051"</f>
        <v>202301051</v>
      </c>
      <c r="C174" s="8" t="str">
        <f>"张媛心一"</f>
        <v>张媛心一</v>
      </c>
      <c r="D174" s="8" t="str">
        <f>"202305074903"</f>
        <v>202305074903</v>
      </c>
      <c r="E174" s="16">
        <v>91.6</v>
      </c>
      <c r="F174" s="17">
        <v>103.5</v>
      </c>
      <c r="G174" s="12">
        <f t="shared" si="9"/>
        <v>195.1</v>
      </c>
      <c r="H174" s="12"/>
    </row>
    <row r="175" spans="1:8" ht="18.75">
      <c r="A175" s="13">
        <v>173</v>
      </c>
      <c r="B175" s="9" t="str">
        <f>"202301052"</f>
        <v>202301052</v>
      </c>
      <c r="C175" s="8" t="str">
        <f>"张雨欣"</f>
        <v>张雨欣</v>
      </c>
      <c r="D175" s="8" t="str">
        <f>"202305074922"</f>
        <v>202305074922</v>
      </c>
      <c r="E175" s="16">
        <v>91.3</v>
      </c>
      <c r="F175" s="17">
        <v>110.5</v>
      </c>
      <c r="G175" s="12">
        <f t="shared" si="9"/>
        <v>201.8</v>
      </c>
      <c r="H175" s="12"/>
    </row>
    <row r="176" spans="1:8" ht="18.75">
      <c r="A176" s="13">
        <v>174</v>
      </c>
      <c r="B176" s="9" t="str">
        <f>"202301052"</f>
        <v>202301052</v>
      </c>
      <c r="C176" s="8" t="str">
        <f>"林梦玉"</f>
        <v>林梦玉</v>
      </c>
      <c r="D176" s="8" t="str">
        <f>"202305074920"</f>
        <v>202305074920</v>
      </c>
      <c r="E176" s="16">
        <v>88.4</v>
      </c>
      <c r="F176" s="17">
        <v>108</v>
      </c>
      <c r="G176" s="12">
        <f t="shared" si="9"/>
        <v>196.4</v>
      </c>
      <c r="H176" s="12"/>
    </row>
    <row r="177" spans="1:8" ht="18.75">
      <c r="A177" s="13">
        <v>175</v>
      </c>
      <c r="B177" s="9" t="str">
        <f>"202301052"</f>
        <v>202301052</v>
      </c>
      <c r="C177" s="8" t="str">
        <f>"赵慧敏"</f>
        <v>赵慧敏</v>
      </c>
      <c r="D177" s="8" t="str">
        <f>"202305074916"</f>
        <v>202305074916</v>
      </c>
      <c r="E177" s="16">
        <v>88.3</v>
      </c>
      <c r="F177" s="17">
        <v>104.5</v>
      </c>
      <c r="G177" s="12">
        <f t="shared" si="9"/>
        <v>192.8</v>
      </c>
      <c r="H177" s="12"/>
    </row>
    <row r="178" spans="1:8" ht="18.75">
      <c r="A178" s="13">
        <v>176</v>
      </c>
      <c r="B178" s="9" t="str">
        <f>"202301053"</f>
        <v>202301053</v>
      </c>
      <c r="C178" s="8" t="str">
        <f>"张欢"</f>
        <v>张欢</v>
      </c>
      <c r="D178" s="8" t="str">
        <f>"202305075002"</f>
        <v>202305075002</v>
      </c>
      <c r="E178" s="16">
        <v>96.5</v>
      </c>
      <c r="F178" s="17">
        <v>104</v>
      </c>
      <c r="G178" s="12">
        <f t="shared" si="9"/>
        <v>200.5</v>
      </c>
      <c r="H178" s="12"/>
    </row>
    <row r="179" spans="1:8" ht="18.75">
      <c r="A179" s="13">
        <v>177</v>
      </c>
      <c r="B179" s="9" t="str">
        <f>"202301053"</f>
        <v>202301053</v>
      </c>
      <c r="C179" s="8" t="str">
        <f>"胡瑞"</f>
        <v>胡瑞</v>
      </c>
      <c r="D179" s="8" t="str">
        <f>"202305074924"</f>
        <v>202305074924</v>
      </c>
      <c r="E179" s="19">
        <v>91.3</v>
      </c>
      <c r="F179" s="17">
        <v>100.5</v>
      </c>
      <c r="G179" s="12">
        <f t="shared" si="9"/>
        <v>191.8</v>
      </c>
      <c r="H179" s="12"/>
    </row>
    <row r="180" spans="1:8" ht="18.75">
      <c r="A180" s="13">
        <v>178</v>
      </c>
      <c r="B180" s="9" t="str">
        <f>"202301053"</f>
        <v>202301053</v>
      </c>
      <c r="C180" s="8" t="str">
        <f>"毛洪旭"</f>
        <v>毛洪旭</v>
      </c>
      <c r="D180" s="8" t="str">
        <f>"202305075005"</f>
        <v>202305075005</v>
      </c>
      <c r="E180" s="16">
        <v>97.3</v>
      </c>
      <c r="F180" s="17">
        <v>87.5</v>
      </c>
      <c r="G180" s="12">
        <f t="shared" si="9"/>
        <v>184.8</v>
      </c>
      <c r="H180" s="12"/>
    </row>
    <row r="181" spans="1:8" ht="18.75">
      <c r="A181" s="13">
        <v>179</v>
      </c>
      <c r="B181" s="9" t="str">
        <f>"202301054"</f>
        <v>202301054</v>
      </c>
      <c r="C181" s="8" t="str">
        <f>"胡敏"</f>
        <v>胡敏</v>
      </c>
      <c r="D181" s="8" t="str">
        <f>"202305075020"</f>
        <v>202305075020</v>
      </c>
      <c r="E181" s="16">
        <v>92.9</v>
      </c>
      <c r="F181" s="17">
        <v>111.5</v>
      </c>
      <c r="G181" s="12">
        <f t="shared" si="9"/>
        <v>204.4</v>
      </c>
      <c r="H181" s="12"/>
    </row>
    <row r="182" spans="1:8" ht="18.75">
      <c r="A182" s="13">
        <v>180</v>
      </c>
      <c r="B182" s="9" t="str">
        <f>"202301054"</f>
        <v>202301054</v>
      </c>
      <c r="C182" s="8" t="str">
        <f>"陈实"</f>
        <v>陈实</v>
      </c>
      <c r="D182" s="8" t="str">
        <f>"202305075016"</f>
        <v>202305075016</v>
      </c>
      <c r="E182" s="16">
        <v>109.1</v>
      </c>
      <c r="F182" s="17">
        <v>92</v>
      </c>
      <c r="G182" s="12">
        <f t="shared" si="9"/>
        <v>201.1</v>
      </c>
      <c r="H182" s="12"/>
    </row>
    <row r="183" spans="1:8" ht="18.75">
      <c r="A183" s="13">
        <v>181</v>
      </c>
      <c r="B183" s="9" t="str">
        <f>"202301054"</f>
        <v>202301054</v>
      </c>
      <c r="C183" s="8" t="str">
        <f>"张文京"</f>
        <v>张文京</v>
      </c>
      <c r="D183" s="8" t="str">
        <f>"202305075019"</f>
        <v>202305075019</v>
      </c>
      <c r="E183" s="16">
        <v>100.7</v>
      </c>
      <c r="F183" s="17">
        <v>93.5</v>
      </c>
      <c r="G183" s="12">
        <f t="shared" si="9"/>
        <v>194.2</v>
      </c>
      <c r="H183" s="12"/>
    </row>
    <row r="184" spans="1:8" ht="18.75">
      <c r="A184" s="13">
        <v>182</v>
      </c>
      <c r="B184" s="9" t="str">
        <f>"202301055"</f>
        <v>202301055</v>
      </c>
      <c r="C184" s="8" t="str">
        <f>"王飞阳"</f>
        <v>王飞阳</v>
      </c>
      <c r="D184" s="8" t="str">
        <f>"202305075027"</f>
        <v>202305075027</v>
      </c>
      <c r="E184" s="16">
        <v>101.1</v>
      </c>
      <c r="F184" s="17">
        <v>101</v>
      </c>
      <c r="G184" s="12">
        <f t="shared" si="9"/>
        <v>202.1</v>
      </c>
      <c r="H184" s="12"/>
    </row>
    <row r="185" spans="1:8" ht="18.75">
      <c r="A185" s="13">
        <v>183</v>
      </c>
      <c r="B185" s="9" t="str">
        <f>"202301055"</f>
        <v>202301055</v>
      </c>
      <c r="C185" s="8" t="str">
        <f>"许达"</f>
        <v>许达</v>
      </c>
      <c r="D185" s="8" t="str">
        <f>"202305075109"</f>
        <v>202305075109</v>
      </c>
      <c r="E185" s="16">
        <v>105.2</v>
      </c>
      <c r="F185" s="17">
        <v>91.5</v>
      </c>
      <c r="G185" s="12">
        <f t="shared" si="9"/>
        <v>196.7</v>
      </c>
      <c r="H185" s="12"/>
    </row>
    <row r="186" spans="1:8" ht="18.75">
      <c r="A186" s="13">
        <v>184</v>
      </c>
      <c r="B186" s="9" t="str">
        <f>"202301055"</f>
        <v>202301055</v>
      </c>
      <c r="C186" s="8" t="str">
        <f>"马大义"</f>
        <v>马大义</v>
      </c>
      <c r="D186" s="8" t="str">
        <f>"202305075104"</f>
        <v>202305075104</v>
      </c>
      <c r="E186" s="16">
        <v>88.7</v>
      </c>
      <c r="F186" s="17">
        <v>100</v>
      </c>
      <c r="G186" s="12">
        <f t="shared" si="9"/>
        <v>188.7</v>
      </c>
      <c r="H186" s="12"/>
    </row>
    <row r="187" spans="1:8" ht="18.75">
      <c r="A187" s="13">
        <v>185</v>
      </c>
      <c r="B187" s="9" t="str">
        <f>"202301056"</f>
        <v>202301056</v>
      </c>
      <c r="C187" s="8" t="str">
        <f>"蒋卓"</f>
        <v>蒋卓</v>
      </c>
      <c r="D187" s="8" t="str">
        <f>"202305075110"</f>
        <v>202305075110</v>
      </c>
      <c r="E187" s="16">
        <v>98.6</v>
      </c>
      <c r="F187" s="17">
        <v>101.5</v>
      </c>
      <c r="G187" s="12">
        <f t="shared" si="9"/>
        <v>200.1</v>
      </c>
      <c r="H187" s="12"/>
    </row>
    <row r="188" spans="1:8" ht="18.75">
      <c r="A188" s="13">
        <v>186</v>
      </c>
      <c r="B188" s="9" t="str">
        <f>"202301056"</f>
        <v>202301056</v>
      </c>
      <c r="C188" s="8" t="str">
        <f>"朱增光"</f>
        <v>朱增光</v>
      </c>
      <c r="D188" s="8" t="str">
        <f>"202305075111"</f>
        <v>202305075111</v>
      </c>
      <c r="E188" s="16">
        <v>88.2</v>
      </c>
      <c r="F188" s="17">
        <v>108.5</v>
      </c>
      <c r="G188" s="12">
        <f t="shared" si="9"/>
        <v>196.7</v>
      </c>
      <c r="H188" s="12"/>
    </row>
    <row r="189" spans="1:8" ht="18.75">
      <c r="A189" s="13">
        <v>187</v>
      </c>
      <c r="B189" s="9" t="str">
        <f>"202301056"</f>
        <v>202301056</v>
      </c>
      <c r="C189" s="8" t="str">
        <f>"程龙"</f>
        <v>程龙</v>
      </c>
      <c r="D189" s="8" t="str">
        <f>"202305075118"</f>
        <v>202305075118</v>
      </c>
      <c r="E189" s="16">
        <v>94</v>
      </c>
      <c r="F189" s="17">
        <v>96.5</v>
      </c>
      <c r="G189" s="12">
        <f t="shared" si="9"/>
        <v>190.5</v>
      </c>
      <c r="H189" s="12"/>
    </row>
    <row r="190" spans="1:8" ht="18.75">
      <c r="A190" s="13">
        <v>188</v>
      </c>
      <c r="B190" s="9" t="str">
        <f>"202301057"</f>
        <v>202301057</v>
      </c>
      <c r="C190" s="8" t="str">
        <f>"张麒麟"</f>
        <v>张麒麟</v>
      </c>
      <c r="D190" s="8" t="str">
        <f>"202305075128"</f>
        <v>202305075128</v>
      </c>
      <c r="E190" s="16">
        <v>100</v>
      </c>
      <c r="F190" s="17">
        <v>92</v>
      </c>
      <c r="G190" s="12">
        <f t="shared" si="9"/>
        <v>192</v>
      </c>
      <c r="H190" s="12"/>
    </row>
    <row r="191" spans="1:8" ht="18.75">
      <c r="A191" s="13">
        <v>189</v>
      </c>
      <c r="B191" s="9" t="str">
        <f>"202301057"</f>
        <v>202301057</v>
      </c>
      <c r="C191" s="8" t="str">
        <f>"李雅琪"</f>
        <v>李雅琪</v>
      </c>
      <c r="D191" s="8" t="str">
        <f>"202305075124"</f>
        <v>202305075124</v>
      </c>
      <c r="E191" s="16">
        <v>82.4</v>
      </c>
      <c r="F191" s="17">
        <v>106.5</v>
      </c>
      <c r="G191" s="12">
        <f t="shared" si="9"/>
        <v>188.9</v>
      </c>
      <c r="H191" s="12"/>
    </row>
    <row r="192" spans="1:8" ht="18.75">
      <c r="A192" s="13">
        <v>190</v>
      </c>
      <c r="B192" s="9" t="str">
        <f>"202301057"</f>
        <v>202301057</v>
      </c>
      <c r="C192" s="8" t="str">
        <f>"李虎"</f>
        <v>李虎</v>
      </c>
      <c r="D192" s="8" t="str">
        <f>"202305075127"</f>
        <v>202305075127</v>
      </c>
      <c r="E192" s="16">
        <v>95.3</v>
      </c>
      <c r="F192" s="17">
        <v>93.5</v>
      </c>
      <c r="G192" s="12">
        <f t="shared" si="9"/>
        <v>188.8</v>
      </c>
      <c r="H192" s="12"/>
    </row>
    <row r="193" spans="1:8" ht="18.75">
      <c r="A193" s="13">
        <v>191</v>
      </c>
      <c r="B193" s="9" t="str">
        <f>"202301058"</f>
        <v>202301058</v>
      </c>
      <c r="C193" s="8" t="str">
        <f>"刘家成"</f>
        <v>刘家成</v>
      </c>
      <c r="D193" s="8" t="str">
        <f>"202305075205"</f>
        <v>202305075205</v>
      </c>
      <c r="E193" s="16">
        <v>94.4</v>
      </c>
      <c r="F193" s="17">
        <v>101.5</v>
      </c>
      <c r="G193" s="12">
        <f t="shared" si="9"/>
        <v>195.9</v>
      </c>
      <c r="H193" s="12"/>
    </row>
    <row r="194" spans="1:8" ht="18.75">
      <c r="A194" s="13">
        <v>192</v>
      </c>
      <c r="B194" s="9" t="str">
        <f>"202301058"</f>
        <v>202301058</v>
      </c>
      <c r="C194" s="8" t="str">
        <f>"杨思雨"</f>
        <v>杨思雨</v>
      </c>
      <c r="D194" s="8" t="str">
        <f>"202305075209"</f>
        <v>202305075209</v>
      </c>
      <c r="E194" s="16">
        <v>83.4</v>
      </c>
      <c r="F194" s="17">
        <v>102</v>
      </c>
      <c r="G194" s="12">
        <f t="shared" si="9"/>
        <v>185.4</v>
      </c>
      <c r="H194" s="12"/>
    </row>
    <row r="195" spans="1:8" ht="18.75">
      <c r="A195" s="13">
        <v>193</v>
      </c>
      <c r="B195" s="9" t="str">
        <f>"202301058"</f>
        <v>202301058</v>
      </c>
      <c r="C195" s="8" t="str">
        <f>"张蒙"</f>
        <v>张蒙</v>
      </c>
      <c r="D195" s="8" t="str">
        <f>"202305075221"</f>
        <v>202305075221</v>
      </c>
      <c r="E195" s="16">
        <v>74.4</v>
      </c>
      <c r="F195" s="17">
        <v>110.5</v>
      </c>
      <c r="G195" s="12">
        <f t="shared" si="9"/>
        <v>184.9</v>
      </c>
      <c r="H195" s="12"/>
    </row>
    <row r="196" spans="1:8" ht="18.75">
      <c r="A196" s="13">
        <v>194</v>
      </c>
      <c r="B196" s="9" t="str">
        <f>"202301059"</f>
        <v>202301059</v>
      </c>
      <c r="C196" s="8" t="str">
        <f>"吴岩然"</f>
        <v>吴岩然</v>
      </c>
      <c r="D196" s="8" t="str">
        <f>"202305075307"</f>
        <v>202305075307</v>
      </c>
      <c r="E196" s="16">
        <v>92.5</v>
      </c>
      <c r="F196" s="17">
        <v>112.5</v>
      </c>
      <c r="G196" s="12">
        <f t="shared" si="9"/>
        <v>205</v>
      </c>
      <c r="H196" s="12"/>
    </row>
    <row r="197" spans="1:8" ht="18.75">
      <c r="A197" s="13">
        <v>195</v>
      </c>
      <c r="B197" s="9" t="str">
        <f>"202301059"</f>
        <v>202301059</v>
      </c>
      <c r="C197" s="8" t="str">
        <f>"陈月月"</f>
        <v>陈月月</v>
      </c>
      <c r="D197" s="8" t="str">
        <f>"202305075306"</f>
        <v>202305075306</v>
      </c>
      <c r="E197" s="16">
        <v>75.9</v>
      </c>
      <c r="F197" s="17">
        <v>106</v>
      </c>
      <c r="G197" s="12">
        <f t="shared" si="9"/>
        <v>181.9</v>
      </c>
      <c r="H197" s="12"/>
    </row>
    <row r="198" spans="1:8" ht="18.75">
      <c r="A198" s="13">
        <v>196</v>
      </c>
      <c r="B198" s="9" t="str">
        <f>"202301059"</f>
        <v>202301059</v>
      </c>
      <c r="C198" s="8" t="str">
        <f>"张凡超"</f>
        <v>张凡超</v>
      </c>
      <c r="D198" s="8" t="str">
        <f>"202305075305"</f>
        <v>202305075305</v>
      </c>
      <c r="E198" s="19">
        <v>82.6</v>
      </c>
      <c r="F198" s="17">
        <v>91.5</v>
      </c>
      <c r="G198" s="12">
        <f t="shared" si="9"/>
        <v>174.1</v>
      </c>
      <c r="H198" s="12"/>
    </row>
    <row r="199" spans="1:8" ht="18.75">
      <c r="A199" s="13">
        <v>197</v>
      </c>
      <c r="B199" s="9" t="str">
        <f>"202301060"</f>
        <v>202301060</v>
      </c>
      <c r="C199" s="8" t="str">
        <f>"张晨"</f>
        <v>张晨</v>
      </c>
      <c r="D199" s="8" t="str">
        <f>"202305075322"</f>
        <v>202305075322</v>
      </c>
      <c r="E199" s="16">
        <v>111.9</v>
      </c>
      <c r="F199" s="17">
        <v>103.5</v>
      </c>
      <c r="G199" s="12">
        <f t="shared" si="9"/>
        <v>215.4</v>
      </c>
      <c r="H199" s="12"/>
    </row>
    <row r="200" spans="1:8" ht="18.75">
      <c r="A200" s="13">
        <v>198</v>
      </c>
      <c r="B200" s="9" t="str">
        <f>"202301060"</f>
        <v>202301060</v>
      </c>
      <c r="C200" s="8" t="str">
        <f>"吴琪"</f>
        <v>吴琪</v>
      </c>
      <c r="D200" s="8" t="str">
        <f>"202305075401"</f>
        <v>202305075401</v>
      </c>
      <c r="E200" s="16">
        <v>109.2</v>
      </c>
      <c r="F200" s="17">
        <v>102</v>
      </c>
      <c r="G200" s="12">
        <f t="shared" si="9"/>
        <v>211.2</v>
      </c>
      <c r="H200" s="12"/>
    </row>
    <row r="201" spans="1:8" ht="18.75">
      <c r="A201" s="13">
        <v>199</v>
      </c>
      <c r="B201" s="9" t="str">
        <f>"202301060"</f>
        <v>202301060</v>
      </c>
      <c r="C201" s="8" t="str">
        <f>"葛文丹"</f>
        <v>葛文丹</v>
      </c>
      <c r="D201" s="8" t="str">
        <f>"202305075328"</f>
        <v>202305075328</v>
      </c>
      <c r="E201" s="16">
        <v>101.3</v>
      </c>
      <c r="F201" s="17">
        <v>103.5</v>
      </c>
      <c r="G201" s="12">
        <f t="shared" si="9"/>
        <v>204.8</v>
      </c>
      <c r="H201" s="12"/>
    </row>
    <row r="202" spans="1:8" ht="18.75">
      <c r="A202" s="13">
        <v>200</v>
      </c>
      <c r="B202" s="9" t="str">
        <f>"202301061"</f>
        <v>202301061</v>
      </c>
      <c r="C202" s="8" t="str">
        <f>"李明"</f>
        <v>李明</v>
      </c>
      <c r="D202" s="8" t="str">
        <f>"202305075409"</f>
        <v>202305075409</v>
      </c>
      <c r="E202" s="16">
        <v>96</v>
      </c>
      <c r="F202" s="17">
        <v>98.5</v>
      </c>
      <c r="G202" s="12">
        <f t="shared" si="9"/>
        <v>194.5</v>
      </c>
      <c r="H202" s="12"/>
    </row>
    <row r="203" spans="1:8" ht="18.75">
      <c r="A203" s="13">
        <v>201</v>
      </c>
      <c r="B203" s="9" t="str">
        <f>"202301061"</f>
        <v>202301061</v>
      </c>
      <c r="C203" s="8" t="str">
        <f>"钱益民"</f>
        <v>钱益民</v>
      </c>
      <c r="D203" s="8" t="str">
        <f>"202305075415"</f>
        <v>202305075415</v>
      </c>
      <c r="E203" s="16">
        <v>84.8</v>
      </c>
      <c r="F203" s="17">
        <v>99.5</v>
      </c>
      <c r="G203" s="12">
        <f t="shared" si="9"/>
        <v>184.3</v>
      </c>
      <c r="H203" s="12"/>
    </row>
    <row r="204" spans="1:8" ht="18.75">
      <c r="A204" s="13">
        <v>202</v>
      </c>
      <c r="B204" s="9" t="str">
        <f>"202301061"</f>
        <v>202301061</v>
      </c>
      <c r="C204" s="8" t="str">
        <f>"杨小元"</f>
        <v>杨小元</v>
      </c>
      <c r="D204" s="8" t="str">
        <f>"202305075413"</f>
        <v>202305075413</v>
      </c>
      <c r="E204" s="16">
        <v>79.1</v>
      </c>
      <c r="F204" s="17">
        <v>102.5</v>
      </c>
      <c r="G204" s="12">
        <f t="shared" si="9"/>
        <v>181.6</v>
      </c>
      <c r="H204" s="12"/>
    </row>
    <row r="205" spans="1:8" ht="18.75">
      <c r="A205" s="13">
        <v>203</v>
      </c>
      <c r="B205" s="9" t="str">
        <f>"202301061"</f>
        <v>202301061</v>
      </c>
      <c r="C205" s="8" t="str">
        <f>"焦飞"</f>
        <v>焦飞</v>
      </c>
      <c r="D205" s="8" t="str">
        <f>"202305075412"</f>
        <v>202305075412</v>
      </c>
      <c r="E205" s="16">
        <v>74.2</v>
      </c>
      <c r="F205" s="17">
        <v>77.5</v>
      </c>
      <c r="G205" s="12">
        <f t="shared" si="9"/>
        <v>151.7</v>
      </c>
      <c r="H205" s="12"/>
    </row>
    <row r="206" spans="1:8" ht="18.75">
      <c r="A206" s="13">
        <v>204</v>
      </c>
      <c r="B206" s="9" t="str">
        <f>"202301062"</f>
        <v>202301062</v>
      </c>
      <c r="C206" s="8" t="str">
        <f>"丁维露"</f>
        <v>丁维露</v>
      </c>
      <c r="D206" s="8" t="str">
        <f>"202305075421"</f>
        <v>202305075421</v>
      </c>
      <c r="E206" s="16">
        <v>109.1</v>
      </c>
      <c r="F206" s="17">
        <v>100</v>
      </c>
      <c r="G206" s="12">
        <f t="shared" si="9"/>
        <v>209.1</v>
      </c>
      <c r="H206" s="12"/>
    </row>
    <row r="207" spans="1:8" ht="18.75">
      <c r="A207" s="13">
        <v>205</v>
      </c>
      <c r="B207" s="9" t="str">
        <f>"202301062"</f>
        <v>202301062</v>
      </c>
      <c r="C207" s="8" t="str">
        <f>"李小龙"</f>
        <v>李小龙</v>
      </c>
      <c r="D207" s="8" t="str">
        <f>"202305075422"</f>
        <v>202305075422</v>
      </c>
      <c r="E207" s="16">
        <v>100.5</v>
      </c>
      <c r="F207" s="17">
        <v>92</v>
      </c>
      <c r="G207" s="12">
        <f t="shared" si="9"/>
        <v>192.5</v>
      </c>
      <c r="H207" s="12"/>
    </row>
    <row r="208" spans="1:8" ht="18.75">
      <c r="A208" s="13">
        <v>206</v>
      </c>
      <c r="B208" s="9" t="str">
        <f>"202301062"</f>
        <v>202301062</v>
      </c>
      <c r="C208" s="8" t="str">
        <f>"杨壮"</f>
        <v>杨壮</v>
      </c>
      <c r="D208" s="8" t="str">
        <f>"202305075420"</f>
        <v>202305075420</v>
      </c>
      <c r="E208" s="16">
        <v>87.7</v>
      </c>
      <c r="F208" s="17">
        <v>98.5</v>
      </c>
      <c r="G208" s="12">
        <f t="shared" si="9"/>
        <v>186.2</v>
      </c>
      <c r="H208" s="12"/>
    </row>
    <row r="209" spans="1:8" ht="18.75">
      <c r="A209" s="13">
        <v>207</v>
      </c>
      <c r="B209" s="9" t="str">
        <f>"202301063"</f>
        <v>202301063</v>
      </c>
      <c r="C209" s="8" t="str">
        <f>"周昊"</f>
        <v>周昊</v>
      </c>
      <c r="D209" s="8" t="str">
        <f>"202305075423"</f>
        <v>202305075423</v>
      </c>
      <c r="E209" s="16">
        <v>108.7</v>
      </c>
      <c r="F209" s="17">
        <v>100.5</v>
      </c>
      <c r="G209" s="12">
        <f t="shared" si="9"/>
        <v>209.2</v>
      </c>
      <c r="H209" s="12"/>
    </row>
    <row r="210" spans="1:8" ht="18.75">
      <c r="A210" s="13">
        <v>208</v>
      </c>
      <c r="B210" s="9" t="str">
        <f>"202301063"</f>
        <v>202301063</v>
      </c>
      <c r="C210" s="8" t="str">
        <f>"汪洵"</f>
        <v>汪洵</v>
      </c>
      <c r="D210" s="8" t="str">
        <f>"202305075425"</f>
        <v>202305075425</v>
      </c>
      <c r="E210" s="16">
        <v>100.4</v>
      </c>
      <c r="F210" s="17">
        <v>88</v>
      </c>
      <c r="G210" s="12">
        <f t="shared" si="9"/>
        <v>188.4</v>
      </c>
      <c r="H210" s="12"/>
    </row>
    <row r="211" spans="1:8" ht="18.75">
      <c r="A211" s="13">
        <v>209</v>
      </c>
      <c r="B211" s="9" t="str">
        <f>"202301063"</f>
        <v>202301063</v>
      </c>
      <c r="C211" s="8" t="str">
        <f>"袁伟"</f>
        <v>袁伟</v>
      </c>
      <c r="D211" s="8" t="str">
        <f>"202305075429"</f>
        <v>202305075429</v>
      </c>
      <c r="E211" s="16">
        <v>73.9</v>
      </c>
      <c r="F211" s="17">
        <v>106</v>
      </c>
      <c r="G211" s="12">
        <f t="shared" si="9"/>
        <v>179.9</v>
      </c>
      <c r="H211" s="12"/>
    </row>
    <row r="212" spans="1:8" ht="18.75">
      <c r="A212" s="13">
        <v>210</v>
      </c>
      <c r="B212" s="9" t="str">
        <f aca="true" t="shared" si="11" ref="B212:B228">"202301064"</f>
        <v>202301064</v>
      </c>
      <c r="C212" s="8" t="str">
        <f>"张震"</f>
        <v>张震</v>
      </c>
      <c r="D212" s="8" t="str">
        <f>"202305075501"</f>
        <v>202305075501</v>
      </c>
      <c r="E212" s="16">
        <v>96.9</v>
      </c>
      <c r="F212" s="17">
        <v>113</v>
      </c>
      <c r="G212" s="12">
        <f aca="true" t="shared" si="12" ref="G212:G220">SUM(E212:F212)</f>
        <v>209.9</v>
      </c>
      <c r="H212" s="12"/>
    </row>
    <row r="213" spans="1:8" ht="18.75">
      <c r="A213" s="13">
        <v>211</v>
      </c>
      <c r="B213" s="9" t="str">
        <f t="shared" si="11"/>
        <v>202301064</v>
      </c>
      <c r="C213" s="8" t="str">
        <f>"张轶凡"</f>
        <v>张轶凡</v>
      </c>
      <c r="D213" s="8" t="str">
        <f>"202305075516"</f>
        <v>202305075516</v>
      </c>
      <c r="E213" s="16">
        <v>89.4</v>
      </c>
      <c r="F213" s="17">
        <v>119</v>
      </c>
      <c r="G213" s="12">
        <f t="shared" si="12"/>
        <v>208.4</v>
      </c>
      <c r="H213" s="12"/>
    </row>
    <row r="214" spans="1:8" ht="18.75">
      <c r="A214" s="13">
        <v>212</v>
      </c>
      <c r="B214" s="9" t="str">
        <f t="shared" si="11"/>
        <v>202301064</v>
      </c>
      <c r="C214" s="8" t="str">
        <f>"唐齐"</f>
        <v>唐齐</v>
      </c>
      <c r="D214" s="8" t="str">
        <f>"202305075509"</f>
        <v>202305075509</v>
      </c>
      <c r="E214" s="16">
        <v>89</v>
      </c>
      <c r="F214" s="17">
        <v>109.5</v>
      </c>
      <c r="G214" s="12">
        <f t="shared" si="12"/>
        <v>198.5</v>
      </c>
      <c r="H214" s="12"/>
    </row>
    <row r="215" spans="1:8" ht="18.75">
      <c r="A215" s="13">
        <v>213</v>
      </c>
      <c r="B215" s="9" t="str">
        <f t="shared" si="11"/>
        <v>202301064</v>
      </c>
      <c r="C215" s="8" t="str">
        <f>"王志"</f>
        <v>王志</v>
      </c>
      <c r="D215" s="8" t="str">
        <f>"202305075508"</f>
        <v>202305075508</v>
      </c>
      <c r="E215" s="16">
        <v>89</v>
      </c>
      <c r="F215" s="17">
        <v>106</v>
      </c>
      <c r="G215" s="12">
        <f t="shared" si="12"/>
        <v>195</v>
      </c>
      <c r="H215" s="12"/>
    </row>
    <row r="216" spans="1:8" ht="18.75">
      <c r="A216" s="13">
        <v>214</v>
      </c>
      <c r="B216" s="9" t="str">
        <f t="shared" si="11"/>
        <v>202301064</v>
      </c>
      <c r="C216" s="8" t="str">
        <f>"孙海涛"</f>
        <v>孙海涛</v>
      </c>
      <c r="D216" s="8" t="str">
        <f>"202305075505"</f>
        <v>202305075505</v>
      </c>
      <c r="E216" s="16">
        <v>90.1</v>
      </c>
      <c r="F216" s="17">
        <v>101</v>
      </c>
      <c r="G216" s="12">
        <f t="shared" si="12"/>
        <v>191.1</v>
      </c>
      <c r="H216" s="12"/>
    </row>
    <row r="217" spans="1:8" ht="18.75">
      <c r="A217" s="13">
        <v>215</v>
      </c>
      <c r="B217" s="9" t="str">
        <f t="shared" si="11"/>
        <v>202301064</v>
      </c>
      <c r="C217" s="8" t="str">
        <f>"林续"</f>
        <v>林续</v>
      </c>
      <c r="D217" s="8" t="str">
        <f>"202305075510"</f>
        <v>202305075510</v>
      </c>
      <c r="E217" s="16">
        <v>93.1</v>
      </c>
      <c r="F217" s="17">
        <v>97</v>
      </c>
      <c r="G217" s="12">
        <f t="shared" si="12"/>
        <v>190.1</v>
      </c>
      <c r="H217" s="12"/>
    </row>
    <row r="218" spans="1:8" ht="18.75">
      <c r="A218" s="13">
        <v>216</v>
      </c>
      <c r="B218" s="9" t="str">
        <f t="shared" si="11"/>
        <v>202301064</v>
      </c>
      <c r="C218" s="8" t="str">
        <f>"严阳阳"</f>
        <v>严阳阳</v>
      </c>
      <c r="D218" s="8" t="str">
        <f>"202305075430"</f>
        <v>202305075430</v>
      </c>
      <c r="E218" s="16">
        <v>86.6</v>
      </c>
      <c r="F218" s="17">
        <v>97.5</v>
      </c>
      <c r="G218" s="12">
        <f t="shared" si="12"/>
        <v>184.1</v>
      </c>
      <c r="H218" s="12"/>
    </row>
    <row r="219" spans="1:8" ht="18.75">
      <c r="A219" s="13">
        <v>217</v>
      </c>
      <c r="B219" s="9" t="str">
        <f t="shared" si="11"/>
        <v>202301064</v>
      </c>
      <c r="C219" s="8" t="str">
        <f>"葛明龙"</f>
        <v>葛明龙</v>
      </c>
      <c r="D219" s="8" t="str">
        <f>"202305075514"</f>
        <v>202305075514</v>
      </c>
      <c r="E219" s="16">
        <v>77.5</v>
      </c>
      <c r="F219" s="17">
        <v>104.5</v>
      </c>
      <c r="G219" s="12">
        <f t="shared" si="12"/>
        <v>182</v>
      </c>
      <c r="H219" s="12"/>
    </row>
    <row r="220" spans="1:8" ht="18.75">
      <c r="A220" s="13">
        <v>218</v>
      </c>
      <c r="B220" s="9" t="str">
        <f t="shared" si="11"/>
        <v>202301064</v>
      </c>
      <c r="C220" s="8" t="str">
        <f>"王宏伟"</f>
        <v>王宏伟</v>
      </c>
      <c r="D220" s="8" t="str">
        <f>"202305075504"</f>
        <v>202305075504</v>
      </c>
      <c r="E220" s="16">
        <v>83.5</v>
      </c>
      <c r="F220" s="17">
        <v>96.5</v>
      </c>
      <c r="G220" s="12">
        <f t="shared" si="12"/>
        <v>180</v>
      </c>
      <c r="H220" s="12"/>
    </row>
    <row r="221" spans="1:8" ht="18.75">
      <c r="A221" s="13">
        <v>219</v>
      </c>
      <c r="B221" s="9" t="str">
        <f aca="true" t="shared" si="13" ref="B221:B259">"202301065"</f>
        <v>202301065</v>
      </c>
      <c r="C221" s="8" t="str">
        <f>"刘一林"</f>
        <v>刘一林</v>
      </c>
      <c r="D221" s="8" t="str">
        <f>"202305075610"</f>
        <v>202305075610</v>
      </c>
      <c r="E221" s="16">
        <v>110.4</v>
      </c>
      <c r="F221" s="17">
        <v>109</v>
      </c>
      <c r="G221" s="12">
        <f aca="true" t="shared" si="14" ref="G221:G248">SUM(E221:F221)</f>
        <v>219.4</v>
      </c>
      <c r="H221" s="12"/>
    </row>
    <row r="222" spans="1:8" ht="18.75">
      <c r="A222" s="13">
        <v>220</v>
      </c>
      <c r="B222" s="9" t="str">
        <f t="shared" si="13"/>
        <v>202301065</v>
      </c>
      <c r="C222" s="8" t="str">
        <f>"李梦婷"</f>
        <v>李梦婷</v>
      </c>
      <c r="D222" s="8" t="str">
        <f>"202305075612"</f>
        <v>202305075612</v>
      </c>
      <c r="E222" s="16">
        <v>95.9</v>
      </c>
      <c r="F222" s="17">
        <v>115</v>
      </c>
      <c r="G222" s="12">
        <f t="shared" si="14"/>
        <v>210.9</v>
      </c>
      <c r="H222" s="12"/>
    </row>
    <row r="223" spans="1:8" ht="18.75">
      <c r="A223" s="13">
        <v>221</v>
      </c>
      <c r="B223" s="9" t="str">
        <f t="shared" si="13"/>
        <v>202301065</v>
      </c>
      <c r="C223" s="8" t="str">
        <f>"孙悦"</f>
        <v>孙悦</v>
      </c>
      <c r="D223" s="8" t="str">
        <f>"202305075517"</f>
        <v>202305075517</v>
      </c>
      <c r="E223" s="16">
        <v>99.7</v>
      </c>
      <c r="F223" s="17">
        <v>109.5</v>
      </c>
      <c r="G223" s="12">
        <f t="shared" si="14"/>
        <v>209.2</v>
      </c>
      <c r="H223" s="12"/>
    </row>
    <row r="224" spans="1:8" ht="18.75">
      <c r="A224" s="13">
        <v>222</v>
      </c>
      <c r="B224" s="9" t="str">
        <f t="shared" si="13"/>
        <v>202301065</v>
      </c>
      <c r="C224" s="8" t="str">
        <f>"胡雨桐"</f>
        <v>胡雨桐</v>
      </c>
      <c r="D224" s="8" t="str">
        <f>"202305075611"</f>
        <v>202305075611</v>
      </c>
      <c r="E224" s="16">
        <v>99</v>
      </c>
      <c r="F224" s="17">
        <v>106.5</v>
      </c>
      <c r="G224" s="12">
        <f t="shared" si="14"/>
        <v>205.5</v>
      </c>
      <c r="H224" s="12"/>
    </row>
    <row r="225" spans="1:8" ht="18.75">
      <c r="A225" s="13">
        <v>223</v>
      </c>
      <c r="B225" s="9" t="str">
        <f t="shared" si="13"/>
        <v>202301065</v>
      </c>
      <c r="C225" s="8" t="str">
        <f>"徐付蓉"</f>
        <v>徐付蓉</v>
      </c>
      <c r="D225" s="8" t="str">
        <f>"202305075601"</f>
        <v>202305075601</v>
      </c>
      <c r="E225" s="16">
        <v>92.4</v>
      </c>
      <c r="F225" s="17">
        <v>110.5</v>
      </c>
      <c r="G225" s="12">
        <f t="shared" si="14"/>
        <v>202.9</v>
      </c>
      <c r="H225" s="12"/>
    </row>
    <row r="226" spans="1:8" ht="18.75">
      <c r="A226" s="13">
        <v>224</v>
      </c>
      <c r="B226" s="9" t="str">
        <f t="shared" si="13"/>
        <v>202301065</v>
      </c>
      <c r="C226" s="8" t="str">
        <f>"孟瑞瑞"</f>
        <v>孟瑞瑞</v>
      </c>
      <c r="D226" s="8" t="str">
        <f>"202305075609"</f>
        <v>202305075609</v>
      </c>
      <c r="E226" s="16">
        <v>91.8</v>
      </c>
      <c r="F226" s="17">
        <v>111</v>
      </c>
      <c r="G226" s="12">
        <f t="shared" si="14"/>
        <v>202.8</v>
      </c>
      <c r="H226" s="12"/>
    </row>
    <row r="227" spans="1:8" ht="18.75">
      <c r="A227" s="13">
        <v>225</v>
      </c>
      <c r="B227" s="9" t="str">
        <f t="shared" si="13"/>
        <v>202301065</v>
      </c>
      <c r="C227" s="8" t="str">
        <f>"岳玉奇"</f>
        <v>岳玉奇</v>
      </c>
      <c r="D227" s="8" t="str">
        <f>"202305075616"</f>
        <v>202305075616</v>
      </c>
      <c r="E227" s="16">
        <v>97.3</v>
      </c>
      <c r="F227" s="17">
        <v>100</v>
      </c>
      <c r="G227" s="12">
        <f t="shared" si="14"/>
        <v>197.3</v>
      </c>
      <c r="H227" s="12"/>
    </row>
    <row r="228" spans="1:8" ht="18.75">
      <c r="A228" s="13">
        <v>226</v>
      </c>
      <c r="B228" s="9" t="str">
        <f t="shared" si="13"/>
        <v>202301065</v>
      </c>
      <c r="C228" s="8" t="str">
        <f>"刘洋"</f>
        <v>刘洋</v>
      </c>
      <c r="D228" s="8" t="str">
        <f>"202305075607"</f>
        <v>202305075607</v>
      </c>
      <c r="E228" s="16">
        <v>89.8</v>
      </c>
      <c r="F228" s="17">
        <v>98.5</v>
      </c>
      <c r="G228" s="12">
        <f t="shared" si="14"/>
        <v>188.3</v>
      </c>
      <c r="H228" s="12"/>
    </row>
    <row r="229" spans="1:8" ht="18.75">
      <c r="A229" s="13">
        <v>227</v>
      </c>
      <c r="B229" s="9" t="str">
        <f t="shared" si="13"/>
        <v>202301065</v>
      </c>
      <c r="C229" s="8" t="str">
        <f>"唐晨"</f>
        <v>唐晨</v>
      </c>
      <c r="D229" s="8" t="str">
        <f>"202305075527"</f>
        <v>202305075527</v>
      </c>
      <c r="E229" s="16">
        <v>79.9</v>
      </c>
      <c r="F229" s="17">
        <v>108</v>
      </c>
      <c r="G229" s="12">
        <f t="shared" si="14"/>
        <v>187.9</v>
      </c>
      <c r="H229" s="12"/>
    </row>
    <row r="230" spans="1:8" ht="18.75">
      <c r="A230" s="13">
        <v>228</v>
      </c>
      <c r="B230" s="9" t="str">
        <f t="shared" si="13"/>
        <v>202301065</v>
      </c>
      <c r="C230" s="8" t="str">
        <f>"车旋"</f>
        <v>车旋</v>
      </c>
      <c r="D230" s="8" t="str">
        <f>"202305075525"</f>
        <v>202305075525</v>
      </c>
      <c r="E230" s="16">
        <v>80.7</v>
      </c>
      <c r="F230" s="17">
        <v>107</v>
      </c>
      <c r="G230" s="12">
        <f t="shared" si="14"/>
        <v>187.7</v>
      </c>
      <c r="H230" s="12"/>
    </row>
    <row r="231" spans="1:8" ht="18.75">
      <c r="A231" s="13">
        <v>229</v>
      </c>
      <c r="B231" s="9" t="str">
        <f t="shared" si="13"/>
        <v>202301065</v>
      </c>
      <c r="C231" s="8" t="str">
        <f>"吕郑涛"</f>
        <v>吕郑涛</v>
      </c>
      <c r="D231" s="8" t="str">
        <f>"202305075520"</f>
        <v>202305075520</v>
      </c>
      <c r="E231" s="16">
        <v>88</v>
      </c>
      <c r="F231" s="17">
        <v>99</v>
      </c>
      <c r="G231" s="12">
        <f t="shared" si="14"/>
        <v>187</v>
      </c>
      <c r="H231" s="12"/>
    </row>
    <row r="232" spans="1:8" ht="18.75">
      <c r="A232" s="13">
        <v>230</v>
      </c>
      <c r="B232" s="9" t="str">
        <f t="shared" si="13"/>
        <v>202301065</v>
      </c>
      <c r="C232" s="8" t="str">
        <f>"王志成"</f>
        <v>王志成</v>
      </c>
      <c r="D232" s="8" t="str">
        <f>"202305075618"</f>
        <v>202305075618</v>
      </c>
      <c r="E232" s="16">
        <v>93.1</v>
      </c>
      <c r="F232" s="17">
        <v>93.5</v>
      </c>
      <c r="G232" s="12">
        <f t="shared" si="14"/>
        <v>186.6</v>
      </c>
      <c r="H232" s="12"/>
    </row>
    <row r="233" spans="1:8" ht="18.75">
      <c r="A233" s="13">
        <v>231</v>
      </c>
      <c r="B233" s="9" t="str">
        <f t="shared" si="13"/>
        <v>202301065</v>
      </c>
      <c r="C233" s="8" t="str">
        <f>"周玉姝"</f>
        <v>周玉姝</v>
      </c>
      <c r="D233" s="8" t="str">
        <f>"202305075603"</f>
        <v>202305075603</v>
      </c>
      <c r="E233" s="16">
        <v>75.5</v>
      </c>
      <c r="F233" s="17">
        <v>109.5</v>
      </c>
      <c r="G233" s="12">
        <f t="shared" si="14"/>
        <v>185</v>
      </c>
      <c r="H233" s="12"/>
    </row>
    <row r="234" spans="1:8" ht="18.75">
      <c r="A234" s="13">
        <v>232</v>
      </c>
      <c r="B234" s="9" t="str">
        <f t="shared" si="13"/>
        <v>202301065</v>
      </c>
      <c r="C234" s="8" t="str">
        <f>"赵杰"</f>
        <v>赵杰</v>
      </c>
      <c r="D234" s="8" t="str">
        <f>"202305075524"</f>
        <v>202305075524</v>
      </c>
      <c r="E234" s="16">
        <v>83.5</v>
      </c>
      <c r="F234" s="17">
        <v>98.5</v>
      </c>
      <c r="G234" s="12">
        <f t="shared" si="14"/>
        <v>182</v>
      </c>
      <c r="H234" s="12"/>
    </row>
    <row r="235" spans="1:8" ht="18.75">
      <c r="A235" s="13">
        <v>233</v>
      </c>
      <c r="B235" s="9" t="str">
        <f t="shared" si="13"/>
        <v>202301065</v>
      </c>
      <c r="C235" s="8" t="str">
        <f>"王志成"</f>
        <v>王志成</v>
      </c>
      <c r="D235" s="8" t="str">
        <f>"202305075615"</f>
        <v>202305075615</v>
      </c>
      <c r="E235" s="16">
        <v>83</v>
      </c>
      <c r="F235" s="17">
        <v>98.5</v>
      </c>
      <c r="G235" s="12">
        <f t="shared" si="14"/>
        <v>181.5</v>
      </c>
      <c r="H235" s="12"/>
    </row>
    <row r="236" spans="1:8" ht="18.75">
      <c r="A236" s="13">
        <v>234</v>
      </c>
      <c r="B236" s="9" t="str">
        <f t="shared" si="13"/>
        <v>202301065</v>
      </c>
      <c r="C236" s="8" t="str">
        <f>"姚卫举"</f>
        <v>姚卫举</v>
      </c>
      <c r="D236" s="8" t="str">
        <f>"202305075519"</f>
        <v>202305075519</v>
      </c>
      <c r="E236" s="16">
        <v>89.9</v>
      </c>
      <c r="F236" s="17">
        <v>91.5</v>
      </c>
      <c r="G236" s="12">
        <f t="shared" si="14"/>
        <v>181.4</v>
      </c>
      <c r="H236" s="12"/>
    </row>
    <row r="237" spans="1:8" ht="18.75">
      <c r="A237" s="13">
        <v>235</v>
      </c>
      <c r="B237" s="9" t="str">
        <f t="shared" si="13"/>
        <v>202301065</v>
      </c>
      <c r="C237" s="8" t="str">
        <f>"代志远"</f>
        <v>代志远</v>
      </c>
      <c r="D237" s="8" t="str">
        <f>"202305075608"</f>
        <v>202305075608</v>
      </c>
      <c r="E237" s="16">
        <v>83.5</v>
      </c>
      <c r="F237" s="17">
        <v>96.5</v>
      </c>
      <c r="G237" s="12">
        <f t="shared" si="14"/>
        <v>180</v>
      </c>
      <c r="H237" s="12"/>
    </row>
    <row r="238" spans="1:8" ht="18.75">
      <c r="A238" s="13">
        <v>236</v>
      </c>
      <c r="B238" s="9" t="str">
        <f t="shared" si="13"/>
        <v>202301065</v>
      </c>
      <c r="C238" s="8" t="str">
        <f>"岳旋旋"</f>
        <v>岳旋旋</v>
      </c>
      <c r="D238" s="8" t="str">
        <f>"202305075518"</f>
        <v>202305075518</v>
      </c>
      <c r="E238" s="16">
        <v>83.9</v>
      </c>
      <c r="F238" s="17">
        <v>95.5</v>
      </c>
      <c r="G238" s="12">
        <f t="shared" si="14"/>
        <v>179.4</v>
      </c>
      <c r="H238" s="12"/>
    </row>
    <row r="239" spans="1:8" ht="18.75">
      <c r="A239" s="13">
        <v>237</v>
      </c>
      <c r="B239" s="9" t="str">
        <f t="shared" si="13"/>
        <v>202301065</v>
      </c>
      <c r="C239" s="8" t="str">
        <f>"孙晟"</f>
        <v>孙晟</v>
      </c>
      <c r="D239" s="8" t="str">
        <f>"202305075617"</f>
        <v>202305075617</v>
      </c>
      <c r="E239" s="16">
        <v>84.7</v>
      </c>
      <c r="F239" s="17">
        <v>94.5</v>
      </c>
      <c r="G239" s="12">
        <f t="shared" si="14"/>
        <v>179.2</v>
      </c>
      <c r="H239" s="12"/>
    </row>
    <row r="240" spans="1:8" ht="18.75">
      <c r="A240" s="13">
        <v>238</v>
      </c>
      <c r="B240" s="9" t="str">
        <f t="shared" si="13"/>
        <v>202301065</v>
      </c>
      <c r="C240" s="8" t="str">
        <f>"陈引"</f>
        <v>陈引</v>
      </c>
      <c r="D240" s="8" t="str">
        <f>"202305075613"</f>
        <v>202305075613</v>
      </c>
      <c r="E240" s="16">
        <v>77.7</v>
      </c>
      <c r="F240" s="17">
        <v>100.5</v>
      </c>
      <c r="G240" s="12">
        <f t="shared" si="14"/>
        <v>178.2</v>
      </c>
      <c r="H240" s="12"/>
    </row>
    <row r="241" spans="1:8" ht="18.75">
      <c r="A241" s="13">
        <v>239</v>
      </c>
      <c r="B241" s="9" t="str">
        <f t="shared" si="13"/>
        <v>202301065</v>
      </c>
      <c r="C241" s="8" t="str">
        <f>"邓莲玉"</f>
        <v>邓莲玉</v>
      </c>
      <c r="D241" s="8" t="str">
        <f>"202305075605"</f>
        <v>202305075605</v>
      </c>
      <c r="E241" s="16">
        <v>79.7</v>
      </c>
      <c r="F241" s="17">
        <v>93.5</v>
      </c>
      <c r="G241" s="12">
        <f t="shared" si="14"/>
        <v>173.2</v>
      </c>
      <c r="H241" s="12"/>
    </row>
    <row r="242" spans="1:8" ht="18.75">
      <c r="A242" s="13">
        <v>240</v>
      </c>
      <c r="B242" s="9" t="str">
        <f t="shared" si="13"/>
        <v>202301065</v>
      </c>
      <c r="C242" s="8" t="str">
        <f>"王柳"</f>
        <v>王柳</v>
      </c>
      <c r="D242" s="8" t="str">
        <f>"202305075526"</f>
        <v>202305075526</v>
      </c>
      <c r="E242" s="16">
        <v>85</v>
      </c>
      <c r="F242" s="17">
        <v>88</v>
      </c>
      <c r="G242" s="12">
        <f t="shared" si="14"/>
        <v>173</v>
      </c>
      <c r="H242" s="12"/>
    </row>
    <row r="243" spans="1:8" ht="18.75">
      <c r="A243" s="13">
        <v>241</v>
      </c>
      <c r="B243" s="9" t="str">
        <f t="shared" si="13"/>
        <v>202301065</v>
      </c>
      <c r="C243" s="8" t="str">
        <f>"吴玲峰"</f>
        <v>吴玲峰</v>
      </c>
      <c r="D243" s="8" t="str">
        <f>"202305075523"</f>
        <v>202305075523</v>
      </c>
      <c r="E243" s="19">
        <v>70.4</v>
      </c>
      <c r="F243" s="17">
        <v>97</v>
      </c>
      <c r="G243" s="12">
        <f t="shared" si="14"/>
        <v>167.4</v>
      </c>
      <c r="H243" s="12"/>
    </row>
    <row r="244" spans="1:8" ht="18.75">
      <c r="A244" s="13">
        <v>242</v>
      </c>
      <c r="B244" s="9" t="str">
        <f t="shared" si="13"/>
        <v>202301065</v>
      </c>
      <c r="C244" s="8" t="str">
        <f>"王彬"</f>
        <v>王彬</v>
      </c>
      <c r="D244" s="8" t="str">
        <f>"202305075623"</f>
        <v>202305075623</v>
      </c>
      <c r="E244" s="16">
        <v>80.9</v>
      </c>
      <c r="F244" s="17">
        <v>86</v>
      </c>
      <c r="G244" s="12">
        <f t="shared" si="14"/>
        <v>166.9</v>
      </c>
      <c r="H244" s="12"/>
    </row>
    <row r="245" spans="1:8" ht="18.75">
      <c r="A245" s="13">
        <v>243</v>
      </c>
      <c r="B245" s="9" t="str">
        <f aca="true" t="shared" si="15" ref="B245:B253">"202301066"</f>
        <v>202301066</v>
      </c>
      <c r="C245" s="8" t="str">
        <f>"朱岩松"</f>
        <v>朱岩松</v>
      </c>
      <c r="D245" s="8" t="str">
        <f>"202305075702"</f>
        <v>202305075702</v>
      </c>
      <c r="E245" s="16">
        <v>97.1</v>
      </c>
      <c r="F245" s="17">
        <v>97.5</v>
      </c>
      <c r="G245" s="12">
        <f aca="true" t="shared" si="16" ref="G245:G253">SUM(E245:F245)</f>
        <v>194.6</v>
      </c>
      <c r="H245" s="12"/>
    </row>
    <row r="246" spans="1:8" ht="18.75">
      <c r="A246" s="13">
        <v>244</v>
      </c>
      <c r="B246" s="9" t="str">
        <f t="shared" si="15"/>
        <v>202301066</v>
      </c>
      <c r="C246" s="8" t="str">
        <f>"葛颖"</f>
        <v>葛颖</v>
      </c>
      <c r="D246" s="8" t="str">
        <f>"202305075704"</f>
        <v>202305075704</v>
      </c>
      <c r="E246" s="16">
        <v>91.1</v>
      </c>
      <c r="F246" s="17">
        <v>102.5</v>
      </c>
      <c r="G246" s="12">
        <f t="shared" si="16"/>
        <v>193.6</v>
      </c>
      <c r="H246" s="12"/>
    </row>
    <row r="247" spans="1:8" ht="18.75">
      <c r="A247" s="13">
        <v>245</v>
      </c>
      <c r="B247" s="9" t="str">
        <f t="shared" si="15"/>
        <v>202301066</v>
      </c>
      <c r="C247" s="8" t="str">
        <f>"刘璇"</f>
        <v>刘璇</v>
      </c>
      <c r="D247" s="8" t="str">
        <f>"202305075701"</f>
        <v>202305075701</v>
      </c>
      <c r="E247" s="16">
        <v>95.7</v>
      </c>
      <c r="F247" s="17">
        <v>91</v>
      </c>
      <c r="G247" s="12">
        <f t="shared" si="16"/>
        <v>186.7</v>
      </c>
      <c r="H247" s="12"/>
    </row>
    <row r="248" spans="1:8" ht="18.75">
      <c r="A248" s="13">
        <v>246</v>
      </c>
      <c r="B248" s="9" t="str">
        <f t="shared" si="15"/>
        <v>202301066</v>
      </c>
      <c r="C248" s="8" t="str">
        <f>"王义虎"</f>
        <v>王义虎</v>
      </c>
      <c r="D248" s="8" t="str">
        <f>"202305075629"</f>
        <v>202305075629</v>
      </c>
      <c r="E248" s="16">
        <v>95.7</v>
      </c>
      <c r="F248" s="17">
        <v>83.5</v>
      </c>
      <c r="G248" s="12">
        <f t="shared" si="16"/>
        <v>179.2</v>
      </c>
      <c r="H248" s="12"/>
    </row>
    <row r="249" spans="1:8" ht="18.75">
      <c r="A249" s="13">
        <v>247</v>
      </c>
      <c r="B249" s="9" t="str">
        <f t="shared" si="15"/>
        <v>202301066</v>
      </c>
      <c r="C249" s="8" t="str">
        <f>"张涛"</f>
        <v>张涛</v>
      </c>
      <c r="D249" s="8" t="str">
        <f>"202305075703"</f>
        <v>202305075703</v>
      </c>
      <c r="E249" s="16">
        <v>69.2</v>
      </c>
      <c r="F249" s="17">
        <v>104</v>
      </c>
      <c r="G249" s="12">
        <f t="shared" si="16"/>
        <v>173.2</v>
      </c>
      <c r="H249" s="12"/>
    </row>
    <row r="250" spans="1:8" ht="18.75">
      <c r="A250" s="13">
        <v>248</v>
      </c>
      <c r="B250" s="9" t="str">
        <f t="shared" si="15"/>
        <v>202301066</v>
      </c>
      <c r="C250" s="8" t="str">
        <f>"陈馨怡"</f>
        <v>陈馨怡</v>
      </c>
      <c r="D250" s="8" t="str">
        <f>"202305075627"</f>
        <v>202305075627</v>
      </c>
      <c r="E250" s="16">
        <v>73.4</v>
      </c>
      <c r="F250" s="17">
        <v>95.5</v>
      </c>
      <c r="G250" s="12">
        <f t="shared" si="16"/>
        <v>168.9</v>
      </c>
      <c r="H250" s="12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WPS_1658998356</cp:lastModifiedBy>
  <dcterms:created xsi:type="dcterms:W3CDTF">2023-05-06T01:24:15Z</dcterms:created>
  <dcterms:modified xsi:type="dcterms:W3CDTF">2023-05-22T00:22:50Z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0DF5442CBBEE46C28CC7D9B8D01C925D_13</vt:lpwstr>
  </property>
  <property fmtid="{D5CDD505-2E9C-101B-9397-08002B2CF9AE}" pid="4" name="KSOProductBuildV">
    <vt:lpwstr>2052-11.1.0.14309</vt:lpwstr>
  </property>
</Properties>
</file>