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395" windowHeight="8520"/>
  </bookViews>
  <sheets>
    <sheet name="1" sheetId="1" r:id="rId1"/>
  </sheets>
  <definedNames>
    <definedName name="_xlnm._FilterDatabase" localSheetId="0" hidden="1">'1'!$F$2:$G$2</definedName>
  </definedNames>
  <calcPr calcId="124519" iterate="1"/>
</workbook>
</file>

<file path=xl/calcChain.xml><?xml version="1.0" encoding="utf-8"?>
<calcChain xmlns="http://schemas.openxmlformats.org/spreadsheetml/2006/main">
  <c r="D27" i="1"/>
  <c r="B3"/>
  <c r="E5"/>
  <c r="E4"/>
  <c r="E3"/>
  <c r="D161"/>
  <c r="D160"/>
  <c r="D173"/>
  <c r="D166"/>
  <c r="D172"/>
  <c r="D171"/>
  <c r="D170"/>
  <c r="D178"/>
  <c r="D179"/>
  <c r="D180"/>
  <c r="D182"/>
  <c r="D190"/>
  <c r="D187"/>
  <c r="D193"/>
  <c r="D194"/>
  <c r="D201"/>
  <c r="D203"/>
  <c r="D204"/>
  <c r="D184"/>
  <c r="D164"/>
  <c r="D205"/>
  <c r="D207"/>
  <c r="D211"/>
  <c r="D213"/>
  <c r="D217"/>
  <c r="D220"/>
  <c r="D230"/>
  <c r="D231"/>
  <c r="D209"/>
  <c r="D215"/>
  <c r="D223"/>
  <c r="D224"/>
  <c r="D221"/>
  <c r="D218"/>
  <c r="D199"/>
  <c r="D200"/>
  <c r="D198"/>
  <c r="D165"/>
  <c r="D232"/>
  <c r="D228"/>
  <c r="D226"/>
  <c r="D227"/>
  <c r="D219"/>
  <c r="D214"/>
  <c r="D212"/>
  <c r="D208"/>
  <c r="D197"/>
  <c r="D192"/>
  <c r="D191"/>
  <c r="D189"/>
  <c r="D188"/>
  <c r="D186"/>
  <c r="D183"/>
  <c r="D177"/>
  <c r="D176"/>
  <c r="D169"/>
  <c r="D168"/>
  <c r="D167"/>
  <c r="D163"/>
  <c r="D229"/>
  <c r="D206"/>
  <c r="D202"/>
  <c r="D185"/>
  <c r="D162"/>
  <c r="D159"/>
  <c r="D158"/>
  <c r="D157"/>
  <c r="D155"/>
  <c r="D154"/>
  <c r="D153"/>
  <c r="D152"/>
  <c r="D151"/>
  <c r="D150"/>
  <c r="D149"/>
  <c r="D147"/>
  <c r="D148"/>
  <c r="D145"/>
  <c r="D143"/>
  <c r="D58"/>
  <c r="D57"/>
  <c r="D56"/>
  <c r="D55"/>
  <c r="D54"/>
  <c r="D53"/>
  <c r="D52"/>
  <c r="D51"/>
  <c r="D50"/>
  <c r="D49"/>
  <c r="D48"/>
  <c r="D47"/>
  <c r="D44"/>
  <c r="D43"/>
  <c r="D41"/>
  <c r="D40"/>
  <c r="D39"/>
  <c r="D38"/>
  <c r="D34"/>
  <c r="D33"/>
  <c r="D32"/>
  <c r="D31"/>
  <c r="D30"/>
  <c r="D29"/>
  <c r="D28"/>
  <c r="D26"/>
  <c r="D24"/>
  <c r="D23"/>
  <c r="D22"/>
  <c r="D21"/>
  <c r="D20"/>
  <c r="D19"/>
  <c r="D18"/>
  <c r="D17"/>
  <c r="D16"/>
  <c r="D15"/>
  <c r="D13"/>
  <c r="D12"/>
  <c r="D11"/>
  <c r="D9"/>
  <c r="D8"/>
  <c r="D7"/>
  <c r="D10"/>
  <c r="D6"/>
  <c r="D5"/>
  <c r="D4"/>
  <c r="D3"/>
  <c r="D59"/>
  <c r="D61"/>
  <c r="D62"/>
  <c r="D63"/>
  <c r="D64"/>
  <c r="D65"/>
  <c r="D67"/>
  <c r="D68"/>
  <c r="D69"/>
  <c r="D70"/>
  <c r="D71"/>
  <c r="D72"/>
  <c r="D73"/>
  <c r="D74"/>
  <c r="D75"/>
  <c r="D78"/>
  <c r="D81"/>
  <c r="D80"/>
  <c r="D79"/>
  <c r="D82"/>
  <c r="D83"/>
  <c r="D84"/>
  <c r="D85"/>
  <c r="D86"/>
  <c r="D88"/>
  <c r="D90"/>
  <c r="D91"/>
  <c r="D92"/>
  <c r="D93"/>
  <c r="D94"/>
  <c r="D95"/>
  <c r="D96"/>
  <c r="D97"/>
  <c r="D98"/>
  <c r="D99"/>
  <c r="D110"/>
  <c r="D100"/>
  <c r="D101"/>
  <c r="D102"/>
  <c r="D103"/>
  <c r="D105"/>
  <c r="D104"/>
  <c r="D106"/>
  <c r="D107"/>
  <c r="D108"/>
  <c r="D109"/>
  <c r="D112"/>
  <c r="D111"/>
  <c r="D113"/>
  <c r="D114"/>
  <c r="D115"/>
  <c r="D117"/>
  <c r="D119"/>
  <c r="D118"/>
  <c r="D123"/>
  <c r="D122"/>
  <c r="D125"/>
  <c r="D126"/>
  <c r="D129"/>
  <c r="D130"/>
  <c r="D131"/>
  <c r="D132"/>
  <c r="D134"/>
  <c r="D136"/>
  <c r="D135"/>
  <c r="D137"/>
  <c r="D138"/>
  <c r="D139"/>
  <c r="D140"/>
  <c r="D142"/>
  <c r="D225"/>
  <c r="D222"/>
  <c r="D210"/>
  <c r="D146"/>
  <c r="D141"/>
  <c r="D133"/>
  <c r="D128"/>
  <c r="D124"/>
  <c r="D121"/>
  <c r="D89"/>
  <c r="D87"/>
  <c r="D77"/>
  <c r="D76"/>
  <c r="D60"/>
  <c r="D46"/>
  <c r="D45"/>
  <c r="D42"/>
  <c r="D37"/>
  <c r="D36"/>
  <c r="D35"/>
  <c r="D25"/>
  <c r="D14"/>
  <c r="G3"/>
  <c r="G4"/>
  <c r="G5"/>
  <c r="G6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4"/>
  <c r="G55"/>
  <c r="G56"/>
  <c r="G57"/>
  <c r="G58"/>
  <c r="G59"/>
  <c r="G60"/>
  <c r="G61"/>
  <c r="G63"/>
  <c r="G64"/>
  <c r="G65"/>
  <c r="G67"/>
  <c r="G68"/>
  <c r="G69"/>
  <c r="G70"/>
  <c r="G71"/>
  <c r="G72"/>
  <c r="G74"/>
  <c r="G75"/>
  <c r="G76"/>
  <c r="G77"/>
  <c r="G78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9"/>
  <c r="G121"/>
  <c r="G122"/>
  <c r="G123"/>
  <c r="G124"/>
  <c r="G125"/>
  <c r="G126"/>
  <c r="G128"/>
  <c r="G129"/>
  <c r="G130"/>
  <c r="G131"/>
  <c r="G132"/>
  <c r="G133"/>
  <c r="G134"/>
  <c r="G135"/>
  <c r="G136"/>
  <c r="G137"/>
  <c r="G138"/>
  <c r="G139"/>
  <c r="G140"/>
  <c r="G141"/>
  <c r="G142"/>
  <c r="G143"/>
  <c r="G145"/>
  <c r="G146"/>
  <c r="G147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7"/>
  <c r="G218"/>
  <c r="G219"/>
  <c r="G220"/>
  <c r="G221"/>
  <c r="G222"/>
  <c r="G223"/>
  <c r="G224"/>
  <c r="G225"/>
  <c r="G226"/>
  <c r="G227"/>
  <c r="G228"/>
  <c r="G229"/>
  <c r="G230"/>
  <c r="G231"/>
  <c r="G232"/>
  <c r="C231"/>
  <c r="B231"/>
  <c r="C228"/>
  <c r="B228"/>
  <c r="C226"/>
  <c r="B226"/>
  <c r="C225"/>
  <c r="B225"/>
  <c r="C223"/>
  <c r="B223"/>
  <c r="C220"/>
  <c r="B220"/>
  <c r="C219"/>
  <c r="B219"/>
  <c r="C218"/>
  <c r="B218"/>
  <c r="C217"/>
  <c r="B217"/>
  <c r="C210"/>
  <c r="B210"/>
  <c r="C209"/>
  <c r="B209"/>
  <c r="C208"/>
  <c r="B208"/>
  <c r="C205"/>
  <c r="B205"/>
  <c r="C202"/>
  <c r="B202"/>
  <c r="C201"/>
  <c r="B201"/>
  <c r="C197"/>
  <c r="B197"/>
  <c r="C196"/>
  <c r="B196"/>
  <c r="C194"/>
  <c r="B194"/>
  <c r="C188"/>
  <c r="B188"/>
  <c r="C183"/>
  <c r="B183"/>
  <c r="C179"/>
  <c r="B179"/>
  <c r="C176"/>
  <c r="B176"/>
  <c r="C172"/>
  <c r="B172"/>
  <c r="C160"/>
  <c r="B160"/>
  <c r="C159"/>
  <c r="B159"/>
  <c r="C158"/>
  <c r="B158"/>
  <c r="C157"/>
  <c r="B157"/>
  <c r="C154"/>
  <c r="B154"/>
  <c r="C153"/>
  <c r="B153"/>
  <c r="C152"/>
  <c r="B152"/>
  <c r="C151"/>
  <c r="B151"/>
  <c r="C150"/>
  <c r="B150"/>
  <c r="C146"/>
  <c r="B146"/>
  <c r="C142"/>
  <c r="B142"/>
  <c r="C139"/>
  <c r="B139"/>
  <c r="C138"/>
  <c r="B138"/>
  <c r="C137"/>
  <c r="B137"/>
  <c r="C136"/>
  <c r="B136"/>
  <c r="C130"/>
  <c r="B130"/>
  <c r="C129"/>
  <c r="B129"/>
  <c r="C125"/>
  <c r="B125"/>
  <c r="C124"/>
  <c r="B124"/>
  <c r="C123"/>
  <c r="B123"/>
  <c r="C122"/>
  <c r="B122"/>
  <c r="C121"/>
  <c r="B121"/>
  <c r="C116"/>
  <c r="B116"/>
  <c r="C113"/>
  <c r="B113"/>
  <c r="C111"/>
  <c r="B111"/>
  <c r="C110"/>
  <c r="B110"/>
  <c r="C108"/>
  <c r="B108"/>
  <c r="C107"/>
  <c r="B107"/>
  <c r="C105"/>
  <c r="B105"/>
  <c r="C103"/>
  <c r="B103"/>
  <c r="C101"/>
  <c r="B101"/>
  <c r="C100"/>
  <c r="B100"/>
  <c r="C99"/>
  <c r="B99"/>
  <c r="C97"/>
  <c r="B97"/>
  <c r="C96"/>
  <c r="B96"/>
  <c r="C95"/>
  <c r="B95"/>
  <c r="C94"/>
  <c r="B94"/>
  <c r="C92"/>
  <c r="B92"/>
  <c r="C91"/>
  <c r="B91"/>
  <c r="C90"/>
  <c r="B90"/>
  <c r="C89"/>
  <c r="B89"/>
  <c r="C86"/>
  <c r="B86"/>
  <c r="C81"/>
  <c r="B81"/>
  <c r="C75"/>
  <c r="B75"/>
  <c r="C74"/>
  <c r="B74"/>
  <c r="C65"/>
  <c r="B65"/>
  <c r="C61"/>
  <c r="B61"/>
  <c r="C59"/>
  <c r="B59"/>
  <c r="C57"/>
  <c r="B57"/>
  <c r="C56"/>
  <c r="B56"/>
  <c r="C51"/>
  <c r="B51"/>
  <c r="C50"/>
  <c r="B50"/>
  <c r="C47"/>
  <c r="B47"/>
  <c r="C44"/>
  <c r="B44"/>
  <c r="C42"/>
  <c r="B42"/>
  <c r="C40"/>
  <c r="B40"/>
  <c r="C39"/>
  <c r="B39"/>
  <c r="C38"/>
  <c r="B38"/>
  <c r="C35"/>
  <c r="B35"/>
  <c r="C32"/>
  <c r="B32"/>
  <c r="C29"/>
  <c r="B29"/>
  <c r="C27"/>
  <c r="B27"/>
  <c r="C26"/>
  <c r="B26"/>
  <c r="C24"/>
  <c r="B24"/>
  <c r="C20"/>
  <c r="B20"/>
  <c r="C19"/>
  <c r="B19"/>
  <c r="C18"/>
  <c r="B18"/>
  <c r="C16"/>
  <c r="B16"/>
  <c r="C15"/>
  <c r="B15"/>
  <c r="C14"/>
  <c r="B14"/>
  <c r="C13"/>
  <c r="B13"/>
  <c r="C12"/>
  <c r="B12"/>
  <c r="C11"/>
  <c r="B11"/>
  <c r="C5"/>
  <c r="B5"/>
  <c r="C4"/>
  <c r="B4"/>
  <c r="C3"/>
  <c r="B167"/>
  <c r="C167"/>
  <c r="B84"/>
  <c r="C84"/>
  <c r="B76"/>
  <c r="C76"/>
  <c r="B67"/>
  <c r="C67"/>
  <c r="B25"/>
  <c r="C25"/>
  <c r="B87"/>
  <c r="C87"/>
  <c r="B221"/>
  <c r="C221"/>
  <c r="B134"/>
  <c r="C134"/>
  <c r="B45"/>
  <c r="C45"/>
  <c r="B104"/>
  <c r="C104"/>
  <c r="B41"/>
  <c r="C41"/>
  <c r="B80"/>
  <c r="C80"/>
  <c r="B187"/>
  <c r="C187"/>
  <c r="B117"/>
  <c r="C117"/>
  <c r="B112"/>
  <c r="C112"/>
  <c r="B168"/>
  <c r="C168"/>
  <c r="B17"/>
  <c r="C17"/>
  <c r="B23"/>
  <c r="C23"/>
  <c r="B77"/>
  <c r="C77"/>
  <c r="B184"/>
  <c r="C184"/>
  <c r="B206"/>
  <c r="C206"/>
  <c r="B128"/>
  <c r="C128"/>
  <c r="B85"/>
  <c r="C85"/>
  <c r="B7"/>
  <c r="C7"/>
  <c r="B161"/>
  <c r="C161"/>
  <c r="B227"/>
  <c r="C227"/>
  <c r="B68"/>
  <c r="C68"/>
  <c r="B31"/>
  <c r="C31"/>
  <c r="B119"/>
  <c r="C119"/>
  <c r="B204"/>
  <c r="C204"/>
  <c r="B54"/>
  <c r="C54"/>
  <c r="B155"/>
  <c r="C155"/>
  <c r="B189"/>
  <c r="C189"/>
  <c r="B190"/>
  <c r="C190"/>
  <c r="B114"/>
  <c r="C114"/>
  <c r="B165"/>
  <c r="C165"/>
  <c r="B88"/>
  <c r="C88"/>
  <c r="B83"/>
  <c r="C83"/>
  <c r="B37"/>
  <c r="C37"/>
  <c r="B93"/>
  <c r="C93"/>
  <c r="B28"/>
  <c r="C28"/>
  <c r="B213"/>
  <c r="C213"/>
  <c r="B214"/>
  <c r="C214"/>
  <c r="B191"/>
  <c r="C191"/>
  <c r="B178"/>
  <c r="C178"/>
  <c r="B58"/>
  <c r="C58"/>
  <c r="B185"/>
  <c r="C185"/>
  <c r="B169"/>
  <c r="C169"/>
  <c r="B132"/>
  <c r="C132"/>
  <c r="B126"/>
  <c r="C126"/>
  <c r="B21"/>
  <c r="C21"/>
  <c r="B46"/>
  <c r="C46"/>
  <c r="B70"/>
  <c r="C70"/>
  <c r="B135"/>
  <c r="C135"/>
  <c r="B143"/>
  <c r="C143"/>
  <c r="B173"/>
  <c r="C173"/>
  <c r="B192"/>
  <c r="C192"/>
  <c r="B186"/>
  <c r="C186"/>
  <c r="B203"/>
  <c r="C203"/>
  <c r="B63"/>
  <c r="C63"/>
  <c r="B64"/>
  <c r="C64"/>
  <c r="B232"/>
  <c r="C232"/>
  <c r="B211"/>
  <c r="C211"/>
  <c r="B9"/>
  <c r="C9"/>
  <c r="B181"/>
  <c r="C181"/>
  <c r="B162"/>
  <c r="C162"/>
  <c r="B133"/>
  <c r="C133"/>
  <c r="B224"/>
  <c r="C224"/>
  <c r="B193"/>
  <c r="C193"/>
  <c r="B147"/>
  <c r="C147"/>
  <c r="B102"/>
  <c r="C102"/>
  <c r="B78"/>
  <c r="C78"/>
  <c r="B33"/>
  <c r="C33"/>
  <c r="B109"/>
  <c r="C109"/>
  <c r="B52"/>
  <c r="C52"/>
  <c r="B10"/>
  <c r="C10"/>
  <c r="B71"/>
  <c r="C71"/>
  <c r="B140"/>
  <c r="C140"/>
  <c r="B131"/>
  <c r="C131"/>
  <c r="B212"/>
  <c r="C212"/>
  <c r="B53"/>
  <c r="C53"/>
  <c r="B156"/>
  <c r="C156"/>
  <c r="B30"/>
  <c r="C30"/>
  <c r="B106"/>
  <c r="C106"/>
  <c r="B48"/>
  <c r="C48"/>
  <c r="B43"/>
  <c r="C43"/>
  <c r="B34"/>
  <c r="C34"/>
  <c r="B199"/>
  <c r="C199"/>
  <c r="B55"/>
  <c r="C55"/>
  <c r="B198"/>
  <c r="C198"/>
  <c r="B72"/>
  <c r="C72"/>
  <c r="B215"/>
  <c r="C215"/>
  <c r="B98"/>
  <c r="C98"/>
  <c r="B115"/>
  <c r="C115"/>
  <c r="B207"/>
  <c r="C207"/>
  <c r="B230"/>
  <c r="C230"/>
  <c r="B36"/>
  <c r="C36"/>
  <c r="B82"/>
  <c r="C82"/>
  <c r="B6"/>
  <c r="C6"/>
  <c r="B229"/>
  <c r="C229"/>
  <c r="B141"/>
  <c r="C141"/>
  <c r="B170"/>
  <c r="C170"/>
  <c r="B149"/>
  <c r="C149"/>
  <c r="B69"/>
  <c r="C69"/>
  <c r="B163"/>
  <c r="C163"/>
  <c r="B200"/>
  <c r="C200"/>
  <c r="B145"/>
  <c r="C145"/>
  <c r="B180"/>
  <c r="C180"/>
  <c r="B222"/>
  <c r="C222"/>
  <c r="B166"/>
  <c r="C166"/>
  <c r="B22"/>
  <c r="C22"/>
  <c r="B177"/>
  <c r="C177"/>
  <c r="B171"/>
  <c r="C171"/>
  <c r="B164"/>
  <c r="C164"/>
  <c r="B60"/>
  <c r="C60"/>
  <c r="B174"/>
  <c r="C174"/>
  <c r="B182"/>
  <c r="C182"/>
</calcChain>
</file>

<file path=xl/sharedStrings.xml><?xml version="1.0" encoding="utf-8"?>
<sst xmlns="http://schemas.openxmlformats.org/spreadsheetml/2006/main" count="699" uniqueCount="495">
  <si>
    <t>报考岗位</t>
  </si>
  <si>
    <t>姓名</t>
  </si>
  <si>
    <t>性别</t>
  </si>
  <si>
    <t>准考证号</t>
  </si>
  <si>
    <t>2020074_管理</t>
  </si>
  <si>
    <t>2020147_专业技术</t>
  </si>
  <si>
    <t>2020066_专业技术</t>
  </si>
  <si>
    <t>2020119_专业技术</t>
  </si>
  <si>
    <t>2020060_专业技术</t>
  </si>
  <si>
    <t>2020095_专业技术</t>
  </si>
  <si>
    <t>2020062_管理</t>
  </si>
  <si>
    <t>2020057_专业技术</t>
  </si>
  <si>
    <t>2020019_专业技术</t>
  </si>
  <si>
    <t>2020069_管理</t>
  </si>
  <si>
    <t>2020204_专业技术</t>
  </si>
  <si>
    <t>2020114_专业技术</t>
  </si>
  <si>
    <t>2020039_专业技术</t>
  </si>
  <si>
    <t>2020082_管理</t>
  </si>
  <si>
    <t>2020050_专业技术</t>
  </si>
  <si>
    <t>2020174_专业技术</t>
  </si>
  <si>
    <t>2020034_管理</t>
  </si>
  <si>
    <t>2020054_专业技术</t>
  </si>
  <si>
    <t>2020063_管理</t>
  </si>
  <si>
    <t>2020003_管理</t>
  </si>
  <si>
    <t>2020093_专业技术</t>
  </si>
  <si>
    <t>2020089_专业技术</t>
  </si>
  <si>
    <t>2020002_管理</t>
  </si>
  <si>
    <t>2020148_专业技术</t>
  </si>
  <si>
    <t>2020013_专业技术</t>
  </si>
  <si>
    <t>2020018_专业技术</t>
  </si>
  <si>
    <t>2020171_管理</t>
  </si>
  <si>
    <t>2020015_专业技术</t>
  </si>
  <si>
    <t>2020190_管理</t>
  </si>
  <si>
    <t>2020191_专业技术</t>
  </si>
  <si>
    <t>2020077_专业技术</t>
  </si>
  <si>
    <t>2020104_专业技术</t>
  </si>
  <si>
    <t>2020215_专业技术</t>
  </si>
  <si>
    <t>2020067_专业技术</t>
  </si>
  <si>
    <t>2020005_管理</t>
  </si>
  <si>
    <t>2020144_专业技术</t>
  </si>
  <si>
    <t>2020010_专业技术</t>
  </si>
  <si>
    <t>2020136_管理</t>
  </si>
  <si>
    <t>2020211_专业技术</t>
  </si>
  <si>
    <t>2020078_专业技术</t>
  </si>
  <si>
    <t>2020058_专业技术</t>
  </si>
  <si>
    <t>2020023_专业技术</t>
  </si>
  <si>
    <t>2020009_专业技术</t>
  </si>
  <si>
    <t>2020072_专业技术</t>
  </si>
  <si>
    <t>2020011_专业技术</t>
  </si>
  <si>
    <t>2020130_管理</t>
  </si>
  <si>
    <t>2020048_专业技术</t>
  </si>
  <si>
    <t>2020098_专业技术</t>
  </si>
  <si>
    <t>2020139_专业技术</t>
  </si>
  <si>
    <t>2020175_专业技术</t>
  </si>
  <si>
    <t>2020061_管理</t>
  </si>
  <si>
    <t>2020176_专业技术</t>
  </si>
  <si>
    <t>2020081_管理</t>
  </si>
  <si>
    <t>2020134_管理</t>
  </si>
  <si>
    <t>2020091_专业技术</t>
  </si>
  <si>
    <t>2020121_专业技术</t>
  </si>
  <si>
    <t>2020145_专业技术</t>
  </si>
  <si>
    <t>2020185_专业技术</t>
  </si>
  <si>
    <t>2020035_专业技术</t>
  </si>
  <si>
    <t>2020122_专业技术</t>
  </si>
  <si>
    <t>2020037_专业技术</t>
  </si>
  <si>
    <t>2020133_管理</t>
  </si>
  <si>
    <t>2020021_专业技术</t>
  </si>
  <si>
    <t>2020070_管理</t>
  </si>
  <si>
    <t>2020031_专业技术</t>
  </si>
  <si>
    <t>2020198_专业技术</t>
  </si>
  <si>
    <t>2020065_专业技术</t>
  </si>
  <si>
    <t>2020030_管理</t>
  </si>
  <si>
    <t>2020075_管理</t>
  </si>
  <si>
    <t>2020020_专业技术</t>
  </si>
  <si>
    <t>2020196_专业技术</t>
  </si>
  <si>
    <t>2020197_专业技术</t>
  </si>
  <si>
    <t>2020192_专业技术</t>
  </si>
  <si>
    <t>2020181_专业技术</t>
  </si>
  <si>
    <t>2020159_专业技术</t>
  </si>
  <si>
    <t>2020135_专业技术</t>
  </si>
  <si>
    <t>2020051_专业技术</t>
  </si>
  <si>
    <t>2020172_专业技术</t>
  </si>
  <si>
    <t>2020149_专业技术</t>
  </si>
  <si>
    <t>2020110_管理</t>
  </si>
  <si>
    <t>2020102_管理</t>
  </si>
  <si>
    <t>2020016_专业技术</t>
  </si>
  <si>
    <t>2020040_管理</t>
  </si>
  <si>
    <t>2020059_管理</t>
  </si>
  <si>
    <t>2020152_专业技术</t>
  </si>
  <si>
    <t>2020182_专业技术</t>
  </si>
  <si>
    <t>2020173_专业技术</t>
  </si>
  <si>
    <t>2020189_管理</t>
  </si>
  <si>
    <t>2020055_专业技术</t>
  </si>
  <si>
    <t>2020068_管理</t>
  </si>
  <si>
    <t>2020194_专业技术</t>
  </si>
  <si>
    <t>2020183_管理</t>
  </si>
  <si>
    <t>2020092_管理</t>
  </si>
  <si>
    <t>2020206_管理</t>
  </si>
  <si>
    <t>2020032_专业技术</t>
  </si>
  <si>
    <t>2020216_管理</t>
  </si>
  <si>
    <t>2020154_专业技术</t>
  </si>
  <si>
    <t>2020028_管理</t>
  </si>
  <si>
    <t>2020195_专业技术</t>
  </si>
  <si>
    <t>2020006_专业技术</t>
  </si>
  <si>
    <t>2020085_专业技术</t>
  </si>
  <si>
    <t>2020168_管理</t>
  </si>
  <si>
    <t>2020187_专业技术</t>
  </si>
  <si>
    <t>2020132_管理</t>
  </si>
  <si>
    <t>2020052_专业技术</t>
  </si>
  <si>
    <t>2020111_专业技术</t>
  </si>
  <si>
    <t>2020207_专业技术</t>
  </si>
  <si>
    <t>2020202_专业技术</t>
  </si>
  <si>
    <t>2020001_专业技术</t>
  </si>
  <si>
    <t>2020025_专业技术</t>
  </si>
  <si>
    <t>2020086_专业技术</t>
  </si>
  <si>
    <t>2020209_专业技术</t>
  </si>
  <si>
    <t>2020097_专业技术</t>
  </si>
  <si>
    <t>2020141_专业技术</t>
  </si>
  <si>
    <t>2020046_专业技术</t>
  </si>
  <si>
    <t>2020008_管理</t>
  </si>
  <si>
    <t>2020099_管理</t>
  </si>
  <si>
    <t>2020124_专业技术</t>
  </si>
  <si>
    <t>2020087_管理</t>
  </si>
  <si>
    <t>2020043_专业技术</t>
  </si>
  <si>
    <t>2020109_专业技术</t>
  </si>
  <si>
    <t>2020073_专业技术</t>
  </si>
  <si>
    <t>2020090_管理</t>
  </si>
  <si>
    <t>2020047_专业技术</t>
  </si>
  <si>
    <t>2020140_管理</t>
  </si>
  <si>
    <t>2020022_专业技术</t>
  </si>
  <si>
    <t>2020151_专业技术</t>
  </si>
  <si>
    <t>2020212_管理岗</t>
  </si>
  <si>
    <t>2020193_专业技术</t>
  </si>
  <si>
    <t>2020083_专业技术</t>
  </si>
  <si>
    <t>2020041_专业技术</t>
  </si>
  <si>
    <t>2020137_管理</t>
  </si>
  <si>
    <t>2020036_专业技术</t>
  </si>
  <si>
    <t>2020027_专业技术</t>
  </si>
  <si>
    <t>2020056_专业技术</t>
  </si>
  <si>
    <t>2020088_专业技术</t>
  </si>
  <si>
    <t>2020049_专业技术</t>
  </si>
  <si>
    <t>2020186_专业技术</t>
  </si>
  <si>
    <t>2020079_专业技术</t>
  </si>
  <si>
    <t>2020210_专业技术</t>
  </si>
  <si>
    <t>2020200_专业技术</t>
  </si>
  <si>
    <t>2020024_专业技术</t>
  </si>
  <si>
    <t>2020214_专业技术</t>
  </si>
  <si>
    <t>2020184_专业技术</t>
  </si>
  <si>
    <t>2020029_管理</t>
  </si>
  <si>
    <t>2020108_管理</t>
  </si>
  <si>
    <t>2020064_专业技术</t>
  </si>
  <si>
    <t>2020138_专业技术</t>
  </si>
  <si>
    <t>2020142_专业技术</t>
  </si>
  <si>
    <t>2020004_专业技术</t>
  </si>
  <si>
    <t>2020213_专业技术</t>
  </si>
  <si>
    <t>2020084_专业技术</t>
  </si>
  <si>
    <t>2020106_管理</t>
  </si>
  <si>
    <t>2020103_管理</t>
  </si>
  <si>
    <t>2020125_专业技术</t>
  </si>
  <si>
    <t>2020123_管理</t>
  </si>
  <si>
    <t>2020150_专业技术</t>
  </si>
  <si>
    <t>2020170_专业技术</t>
  </si>
  <si>
    <t>2020201_专业技术</t>
  </si>
  <si>
    <t>2020042_专业技术</t>
  </si>
  <si>
    <t>2020126_专业技术</t>
  </si>
  <si>
    <t>2020080_管理</t>
  </si>
  <si>
    <t>2020131_专业技术</t>
  </si>
  <si>
    <t>2020033_专业技术</t>
  </si>
  <si>
    <t>2020094_专业技术</t>
  </si>
  <si>
    <t>2020160_管理</t>
  </si>
  <si>
    <t>2020205_管理</t>
  </si>
  <si>
    <t>2020155_管理</t>
  </si>
  <si>
    <t>2020044_专业技术</t>
  </si>
  <si>
    <t>2020143_专业技术</t>
  </si>
  <si>
    <t>2020017_专业技术</t>
  </si>
  <si>
    <t>2020156_专业技术</t>
  </si>
  <si>
    <t>2020188_管理</t>
  </si>
  <si>
    <t>2020203_专业技术</t>
  </si>
  <si>
    <t>2020053_管理</t>
  </si>
  <si>
    <t>2020012_专业技术</t>
  </si>
  <si>
    <t>2020014_专业技术</t>
  </si>
  <si>
    <t>2020096_专业技术</t>
  </si>
  <si>
    <t>2020153_专业技术</t>
  </si>
  <si>
    <t>2020169_专业技术</t>
  </si>
  <si>
    <t>张冉</t>
  </si>
  <si>
    <t>男</t>
  </si>
  <si>
    <t>2020021623</t>
  </si>
  <si>
    <t>蒋兴田</t>
  </si>
  <si>
    <t>2020020906</t>
  </si>
  <si>
    <t>李承光</t>
  </si>
  <si>
    <t>2020030221</t>
  </si>
  <si>
    <t>黄沛</t>
  </si>
  <si>
    <t>2020046225</t>
  </si>
  <si>
    <t>王翰莘</t>
  </si>
  <si>
    <t>2020045628</t>
  </si>
  <si>
    <t>张浩东</t>
  </si>
  <si>
    <t>2020044826</t>
  </si>
  <si>
    <t>方鑫鑫</t>
  </si>
  <si>
    <t>2020033417</t>
  </si>
  <si>
    <t>夏文彬</t>
  </si>
  <si>
    <t>2020047412</t>
  </si>
  <si>
    <t>褚祥</t>
  </si>
  <si>
    <t>2020021009</t>
  </si>
  <si>
    <t>肖天柱</t>
  </si>
  <si>
    <t>安徽芜湖</t>
  </si>
  <si>
    <t>2020046008</t>
  </si>
  <si>
    <t>施海珊</t>
  </si>
  <si>
    <t>女</t>
  </si>
  <si>
    <t>2020021130</t>
  </si>
  <si>
    <t>朱晓彤</t>
  </si>
  <si>
    <t>2020042622</t>
  </si>
  <si>
    <t>段冰慧</t>
  </si>
  <si>
    <t>2020040622</t>
  </si>
  <si>
    <t>朱星霓</t>
  </si>
  <si>
    <t>市人大常委会预算联网监督中心</t>
  </si>
  <si>
    <t>市直机关第一幼儿园</t>
    <phoneticPr fontId="1" type="noConversion"/>
  </si>
  <si>
    <t>淮北工业与艺术学校</t>
    <phoneticPr fontId="1" type="noConversion"/>
  </si>
  <si>
    <t>市科学技术情报研究所</t>
  </si>
  <si>
    <t>市中小企业发展促进中心</t>
  </si>
  <si>
    <t>市社会救助服务中心</t>
  </si>
  <si>
    <t>市工伤保险管理服务中心</t>
    <phoneticPr fontId="1" type="noConversion"/>
  </si>
  <si>
    <t>市劳动保障监察综合执法支队</t>
    <phoneticPr fontId="1" type="noConversion"/>
  </si>
  <si>
    <t>市劳动能力鉴定中心</t>
    <phoneticPr fontId="1" type="noConversion"/>
  </si>
  <si>
    <t>市不动产登记中心</t>
    <phoneticPr fontId="1" type="noConversion"/>
  </si>
  <si>
    <t>市不动产登记中心杜集分中心</t>
    <phoneticPr fontId="1" type="noConversion"/>
  </si>
  <si>
    <t>市规划监察大队</t>
    <phoneticPr fontId="1" type="noConversion"/>
  </si>
  <si>
    <t>市高新区规划分局</t>
    <phoneticPr fontId="1" type="noConversion"/>
  </si>
  <si>
    <t>市畜牧中心</t>
  </si>
  <si>
    <t>市农业机械化中心</t>
  </si>
  <si>
    <t>市水产技术中心</t>
  </si>
  <si>
    <t>市河道管理中心</t>
  </si>
  <si>
    <t>市水土保持和水利规划室</t>
  </si>
  <si>
    <t>市商务综合执法大队</t>
  </si>
  <si>
    <t>市军队干部离休退休干部休养所</t>
  </si>
  <si>
    <t>安徽省军队转业干部培训中心淮北分中心</t>
  </si>
  <si>
    <t>市应急管理局新型煤化工合成材料基地直属执法大队</t>
  </si>
  <si>
    <t>市煤矿监测监控中心</t>
  </si>
  <si>
    <t>市计算机审计中心</t>
  </si>
  <si>
    <t>市市场监管综合行政执法支队</t>
  </si>
  <si>
    <t>市食品药品检验中心</t>
  </si>
  <si>
    <t>市消费者权益保护委员会秘书处</t>
  </si>
  <si>
    <t>市技术监督情报研究所</t>
  </si>
  <si>
    <t>市林业工作站</t>
  </si>
  <si>
    <t>市相山绿化管理所</t>
  </si>
  <si>
    <t>市医疗生育保险基金安全管理中心</t>
  </si>
  <si>
    <t>市城市建设监察支队</t>
  </si>
  <si>
    <t>市房地产管理监察支队</t>
  </si>
  <si>
    <t>市政务服务中心</t>
  </si>
  <si>
    <t>市公共资源交易中心</t>
  </si>
  <si>
    <t>市职工服务中心</t>
  </si>
  <si>
    <t>市青少年宫</t>
  </si>
  <si>
    <t>市妇女儿童活动中心</t>
  </si>
  <si>
    <t>市聋儿语训中心</t>
  </si>
  <si>
    <t>序号</t>
    <phoneticPr fontId="1" type="noConversion"/>
  </si>
  <si>
    <t>籍贯</t>
    <phoneticPr fontId="1" type="noConversion"/>
  </si>
  <si>
    <t>出生年月</t>
    <phoneticPr fontId="1" type="noConversion"/>
  </si>
  <si>
    <t>市人民政府机关后勤服务中心</t>
    <phoneticPr fontId="1" type="noConversion"/>
  </si>
  <si>
    <t>市社会治安综合治理中心</t>
    <phoneticPr fontId="1" type="noConversion"/>
  </si>
  <si>
    <t>市网络安全应急指挥中心</t>
    <phoneticPr fontId="1" type="noConversion"/>
  </si>
  <si>
    <t>市文明创建督导中心</t>
    <phoneticPr fontId="1" type="noConversion"/>
  </si>
  <si>
    <t>1993.10</t>
    <phoneticPr fontId="1" type="noConversion"/>
  </si>
  <si>
    <t>1990.10</t>
    <phoneticPr fontId="1" type="noConversion"/>
  </si>
  <si>
    <t>1997.09</t>
    <phoneticPr fontId="1" type="noConversion"/>
  </si>
  <si>
    <t>1997.05</t>
    <phoneticPr fontId="1" type="noConversion"/>
  </si>
  <si>
    <t>1996.05</t>
    <phoneticPr fontId="1" type="noConversion"/>
  </si>
  <si>
    <t>1997.01</t>
    <phoneticPr fontId="1" type="noConversion"/>
  </si>
  <si>
    <t>1996.03</t>
    <phoneticPr fontId="1" type="noConversion"/>
  </si>
  <si>
    <t>1994.10</t>
    <phoneticPr fontId="1" type="noConversion"/>
  </si>
  <si>
    <t>1996.07</t>
    <phoneticPr fontId="1" type="noConversion"/>
  </si>
  <si>
    <t>1996.10</t>
    <phoneticPr fontId="1" type="noConversion"/>
  </si>
  <si>
    <t>1996.01</t>
    <phoneticPr fontId="1" type="noConversion"/>
  </si>
  <si>
    <t>1996.02</t>
    <phoneticPr fontId="1" type="noConversion"/>
  </si>
  <si>
    <t>1993.04</t>
    <phoneticPr fontId="1" type="noConversion"/>
  </si>
  <si>
    <t>1999.01</t>
    <phoneticPr fontId="1" type="noConversion"/>
  </si>
  <si>
    <t>1995.09</t>
    <phoneticPr fontId="1" type="noConversion"/>
  </si>
  <si>
    <t>1996.06</t>
    <phoneticPr fontId="1" type="noConversion"/>
  </si>
  <si>
    <t>1997.02</t>
    <phoneticPr fontId="1" type="noConversion"/>
  </si>
  <si>
    <t>1991.10</t>
    <phoneticPr fontId="1" type="noConversion"/>
  </si>
  <si>
    <t>1996.12</t>
    <phoneticPr fontId="1" type="noConversion"/>
  </si>
  <si>
    <t>1993.03</t>
    <phoneticPr fontId="1" type="noConversion"/>
  </si>
  <si>
    <t>1995.07</t>
    <phoneticPr fontId="1" type="noConversion"/>
  </si>
  <si>
    <t>1994.02</t>
    <phoneticPr fontId="1" type="noConversion"/>
  </si>
  <si>
    <t>1995.01</t>
    <phoneticPr fontId="1" type="noConversion"/>
  </si>
  <si>
    <t>1996.08</t>
    <phoneticPr fontId="1" type="noConversion"/>
  </si>
  <si>
    <t>1993.02</t>
    <phoneticPr fontId="1" type="noConversion"/>
  </si>
  <si>
    <t>1989.02</t>
    <phoneticPr fontId="1" type="noConversion"/>
  </si>
  <si>
    <t>1998.03</t>
    <phoneticPr fontId="1" type="noConversion"/>
  </si>
  <si>
    <t>1995.12</t>
    <phoneticPr fontId="1" type="noConversion"/>
  </si>
  <si>
    <t>1996.09</t>
    <phoneticPr fontId="1" type="noConversion"/>
  </si>
  <si>
    <t>1985.12</t>
    <phoneticPr fontId="1" type="noConversion"/>
  </si>
  <si>
    <t>1999.03</t>
    <phoneticPr fontId="1" type="noConversion"/>
  </si>
  <si>
    <t>1999.04</t>
    <phoneticPr fontId="1" type="noConversion"/>
  </si>
  <si>
    <t>1998.12</t>
    <phoneticPr fontId="1" type="noConversion"/>
  </si>
  <si>
    <t>1998.02</t>
    <phoneticPr fontId="1" type="noConversion"/>
  </si>
  <si>
    <t>1995.05</t>
    <phoneticPr fontId="1" type="noConversion"/>
  </si>
  <si>
    <t>相山区文明创建督导中心</t>
  </si>
  <si>
    <t>相山区社会治安综合治理中心</t>
  </si>
  <si>
    <t>相山区安全生产监察大队</t>
  </si>
  <si>
    <t>相山区应急指挥中心</t>
  </si>
  <si>
    <t>相山区退役军人服务中心</t>
  </si>
  <si>
    <t>相山区普查中心</t>
  </si>
  <si>
    <t>相山区任圩畜牧站</t>
  </si>
  <si>
    <t>杜集区机构编制信息中心</t>
  </si>
  <si>
    <t>杜集区优化营商环境服务中心</t>
  </si>
  <si>
    <t>杜集区项目服务中心</t>
  </si>
  <si>
    <t>杜集区水利工程管理站（区水旱灾害防御中心）</t>
  </si>
  <si>
    <t>杜集区农业技术推广中心</t>
  </si>
  <si>
    <t>杜集区高岳街道办事处畜牧兽医水产站（农产品质量安全监督管理站）</t>
  </si>
  <si>
    <t>杜集区劳动就业指导服务站（劳动监察大队）</t>
  </si>
  <si>
    <t>杜集区城市管理监察大队</t>
  </si>
  <si>
    <t>杜集区建设工程质量安全监督管理站</t>
  </si>
  <si>
    <t>杜集区物业管理中心（市政园林管理所）</t>
  </si>
  <si>
    <t>杜集区统计局普查中心</t>
  </si>
  <si>
    <t>杜集区市场监督管理信息中心</t>
  </si>
  <si>
    <t>杜集区招商服务中心</t>
  </si>
  <si>
    <t>杜集区政务服务管理中心</t>
  </si>
  <si>
    <t>烈山区社会治安综合治理中心</t>
  </si>
  <si>
    <t>烈山区社会救助管理中心</t>
  </si>
  <si>
    <t>烈山区国库支付中心</t>
  </si>
  <si>
    <t>烈山区水利工程管理站（水旱灾害防御中心）</t>
  </si>
  <si>
    <t>烈山区政务服务管理中心</t>
  </si>
  <si>
    <t>烈山区统计局普查中心</t>
  </si>
  <si>
    <t>安徽淮北烈山经济开发区管委会</t>
  </si>
  <si>
    <t>烈山区古饶镇人口与计划生育服务中心</t>
  </si>
  <si>
    <t>市紧急医疗救援中心(市121急救中心)</t>
  </si>
  <si>
    <t>市紧急医疗救援中心(市122急救中心)</t>
  </si>
  <si>
    <t>招聘单位</t>
    <phoneticPr fontId="1" type="noConversion"/>
  </si>
  <si>
    <t>2020年度淮北市事业单位公开招聘工作人员第一批拟聘用人员名单</t>
    <phoneticPr fontId="1" type="noConversion"/>
  </si>
  <si>
    <t>1995.09</t>
    <phoneticPr fontId="1" type="noConversion"/>
  </si>
  <si>
    <t>濉溪生态环境监测站</t>
    <phoneticPr fontId="1" type="noConversion"/>
  </si>
  <si>
    <t>1997.01</t>
    <phoneticPr fontId="1" type="noConversion"/>
  </si>
  <si>
    <t>1998.06</t>
    <phoneticPr fontId="1" type="noConversion"/>
  </si>
  <si>
    <t>相山区生态环境保护综合行政执法大队</t>
    <phoneticPr fontId="1" type="noConversion"/>
  </si>
  <si>
    <t>1998.07</t>
    <phoneticPr fontId="1" type="noConversion"/>
  </si>
  <si>
    <t>1995.11</t>
    <phoneticPr fontId="1" type="noConversion"/>
  </si>
  <si>
    <t>杜集区生态环境保护综合行政执法大队</t>
    <phoneticPr fontId="1" type="noConversion"/>
  </si>
  <si>
    <t>1996.02</t>
    <phoneticPr fontId="1" type="noConversion"/>
  </si>
  <si>
    <t>1987.07</t>
    <phoneticPr fontId="1" type="noConversion"/>
  </si>
  <si>
    <t>1998.03</t>
    <phoneticPr fontId="1" type="noConversion"/>
  </si>
  <si>
    <t>淮北高新技术产业开发区生态环境分局</t>
    <phoneticPr fontId="1" type="noConversion"/>
  </si>
  <si>
    <t>1997.05</t>
    <phoneticPr fontId="1" type="noConversion"/>
  </si>
  <si>
    <t>淮北高新技术产业开发区生态环境分局</t>
    <phoneticPr fontId="1" type="noConversion"/>
  </si>
  <si>
    <t>1997.01</t>
    <phoneticPr fontId="1" type="noConversion"/>
  </si>
  <si>
    <t>市生态环境信息中心</t>
    <phoneticPr fontId="1" type="noConversion"/>
  </si>
  <si>
    <t>1998.02</t>
    <phoneticPr fontId="1" type="noConversion"/>
  </si>
  <si>
    <t>市市政工程管理处</t>
    <phoneticPr fontId="1" type="noConversion"/>
  </si>
  <si>
    <t>1996.06</t>
    <phoneticPr fontId="1" type="noConversion"/>
  </si>
  <si>
    <t>市园林管理局</t>
    <phoneticPr fontId="1" type="noConversion"/>
  </si>
  <si>
    <t>1995.12</t>
    <phoneticPr fontId="1" type="noConversion"/>
  </si>
  <si>
    <t>市施工图设计文件服务中心（市建设工程消防管理服务中心）</t>
    <phoneticPr fontId="1" type="noConversion"/>
  </si>
  <si>
    <t>1996.11</t>
    <phoneticPr fontId="1" type="noConversion"/>
  </si>
  <si>
    <t>市施工图设计文件服务中心（市建设工程消防管理服务中心）</t>
    <phoneticPr fontId="1" type="noConversion"/>
  </si>
  <si>
    <t>1990.03</t>
    <phoneticPr fontId="1" type="noConversion"/>
  </si>
  <si>
    <t>1997.02</t>
    <phoneticPr fontId="1" type="noConversion"/>
  </si>
  <si>
    <t>1998.04</t>
    <phoneticPr fontId="1" type="noConversion"/>
  </si>
  <si>
    <t>市城乡建设委员会经济开发区建设管理局</t>
    <phoneticPr fontId="1" type="noConversion"/>
  </si>
  <si>
    <t>安徽定远</t>
    <phoneticPr fontId="1" type="noConversion"/>
  </si>
  <si>
    <t>1996.05</t>
    <phoneticPr fontId="1" type="noConversion"/>
  </si>
  <si>
    <t>市城乡建设委员会经济开发区建设管理局</t>
    <phoneticPr fontId="1" type="noConversion"/>
  </si>
  <si>
    <t>1997.10</t>
    <phoneticPr fontId="1" type="noConversion"/>
  </si>
  <si>
    <t>市建设工程质量监督站</t>
    <phoneticPr fontId="1" type="noConversion"/>
  </si>
  <si>
    <t>1992.09</t>
    <phoneticPr fontId="1" type="noConversion"/>
  </si>
  <si>
    <t>市交通运输综合行政执法支队</t>
    <phoneticPr fontId="1" type="noConversion"/>
  </si>
  <si>
    <t>1994.06</t>
    <phoneticPr fontId="1" type="noConversion"/>
  </si>
  <si>
    <t>1996.09</t>
    <phoneticPr fontId="1" type="noConversion"/>
  </si>
  <si>
    <t>1997.07</t>
    <phoneticPr fontId="1" type="noConversion"/>
  </si>
  <si>
    <t>1997.12</t>
    <phoneticPr fontId="1" type="noConversion"/>
  </si>
  <si>
    <t>1990.10</t>
    <phoneticPr fontId="1" type="noConversion"/>
  </si>
  <si>
    <t>1996.08</t>
    <phoneticPr fontId="1" type="noConversion"/>
  </si>
  <si>
    <t>1995.09</t>
    <phoneticPr fontId="1" type="noConversion"/>
  </si>
  <si>
    <t>1997.09</t>
    <phoneticPr fontId="1" type="noConversion"/>
  </si>
  <si>
    <t>1997.11</t>
    <phoneticPr fontId="1" type="noConversion"/>
  </si>
  <si>
    <t>1992.12</t>
    <phoneticPr fontId="1" type="noConversion"/>
  </si>
  <si>
    <t>1996.05</t>
    <phoneticPr fontId="1" type="noConversion"/>
  </si>
  <si>
    <t>市交通运输综合行政执法支队</t>
    <phoneticPr fontId="1" type="noConversion"/>
  </si>
  <si>
    <t>1996.02</t>
    <phoneticPr fontId="1" type="noConversion"/>
  </si>
  <si>
    <t>1992.10</t>
    <phoneticPr fontId="1" type="noConversion"/>
  </si>
  <si>
    <t>1996.03</t>
    <phoneticPr fontId="1" type="noConversion"/>
  </si>
  <si>
    <t>1994.08</t>
    <phoneticPr fontId="1" type="noConversion"/>
  </si>
  <si>
    <t>1997.01</t>
    <phoneticPr fontId="1" type="noConversion"/>
  </si>
  <si>
    <t>1991.10</t>
    <phoneticPr fontId="1" type="noConversion"/>
  </si>
  <si>
    <t>1995.03</t>
    <phoneticPr fontId="1" type="noConversion"/>
  </si>
  <si>
    <t>1997.09</t>
    <phoneticPr fontId="1" type="noConversion"/>
  </si>
  <si>
    <t>1997.07</t>
    <phoneticPr fontId="1" type="noConversion"/>
  </si>
  <si>
    <t>市疾病预防控制中心</t>
    <phoneticPr fontId="1" type="noConversion"/>
  </si>
  <si>
    <t>1999.12</t>
    <phoneticPr fontId="1" type="noConversion"/>
  </si>
  <si>
    <t>1997.11</t>
    <phoneticPr fontId="1" type="noConversion"/>
  </si>
  <si>
    <t>1997.03</t>
    <phoneticPr fontId="1" type="noConversion"/>
  </si>
  <si>
    <t>市卫生局卫生监督局</t>
    <phoneticPr fontId="1" type="noConversion"/>
  </si>
  <si>
    <t>1994.01</t>
    <phoneticPr fontId="1" type="noConversion"/>
  </si>
  <si>
    <t>1995.06</t>
    <phoneticPr fontId="1" type="noConversion"/>
  </si>
  <si>
    <t>1994.07</t>
    <phoneticPr fontId="1" type="noConversion"/>
  </si>
  <si>
    <t>市紧急医疗救援中心(市120急救中心)</t>
    <phoneticPr fontId="1" type="noConversion"/>
  </si>
  <si>
    <t>1996.07</t>
    <phoneticPr fontId="1" type="noConversion"/>
  </si>
  <si>
    <t>1995.01</t>
    <phoneticPr fontId="1" type="noConversion"/>
  </si>
  <si>
    <t>市卫生健康委员会信息中心</t>
    <phoneticPr fontId="1" type="noConversion"/>
  </si>
  <si>
    <t>1996.05</t>
    <phoneticPr fontId="1" type="noConversion"/>
  </si>
  <si>
    <t>1996.11</t>
    <phoneticPr fontId="1" type="noConversion"/>
  </si>
  <si>
    <t>1989.09</t>
    <phoneticPr fontId="1" type="noConversion"/>
  </si>
  <si>
    <t>市退役军人服务中心</t>
    <phoneticPr fontId="1" type="noConversion"/>
  </si>
  <si>
    <t>1995.08</t>
    <phoneticPr fontId="1" type="noConversion"/>
  </si>
  <si>
    <t>1993.08</t>
    <phoneticPr fontId="1" type="noConversion"/>
  </si>
  <si>
    <t>1993.03</t>
    <phoneticPr fontId="1" type="noConversion"/>
  </si>
  <si>
    <t>1999.03</t>
    <phoneticPr fontId="1" type="noConversion"/>
  </si>
  <si>
    <t>1998.01</t>
    <phoneticPr fontId="1" type="noConversion"/>
  </si>
  <si>
    <t>1998.05</t>
    <phoneticPr fontId="1" type="noConversion"/>
  </si>
  <si>
    <t>1997.08</t>
    <phoneticPr fontId="1" type="noConversion"/>
  </si>
  <si>
    <t>1995.10</t>
    <phoneticPr fontId="1" type="noConversion"/>
  </si>
  <si>
    <t>1998.11</t>
    <phoneticPr fontId="1" type="noConversion"/>
  </si>
  <si>
    <t>1996.02</t>
    <phoneticPr fontId="1" type="noConversion"/>
  </si>
  <si>
    <t>安徽宿州</t>
    <phoneticPr fontId="1" type="noConversion"/>
  </si>
  <si>
    <t>1995.06</t>
    <phoneticPr fontId="1" type="noConversion"/>
  </si>
  <si>
    <t>1996.01</t>
    <phoneticPr fontId="1" type="noConversion"/>
  </si>
  <si>
    <t>1994.08</t>
    <phoneticPr fontId="1" type="noConversion"/>
  </si>
  <si>
    <t>1994.06</t>
    <phoneticPr fontId="1" type="noConversion"/>
  </si>
  <si>
    <t>安徽涡阳</t>
    <phoneticPr fontId="1" type="noConversion"/>
  </si>
  <si>
    <t>1996.08</t>
    <phoneticPr fontId="1" type="noConversion"/>
  </si>
  <si>
    <t>1994.08</t>
    <phoneticPr fontId="1" type="noConversion"/>
  </si>
  <si>
    <t>1997.12</t>
    <phoneticPr fontId="1" type="noConversion"/>
  </si>
  <si>
    <t>1998.06</t>
    <phoneticPr fontId="1" type="noConversion"/>
  </si>
  <si>
    <t>1998.04</t>
    <phoneticPr fontId="1" type="noConversion"/>
  </si>
  <si>
    <t>市环境卫生管理</t>
    <phoneticPr fontId="1" type="noConversion"/>
  </si>
  <si>
    <t>1997.07</t>
    <phoneticPr fontId="1" type="noConversion"/>
  </si>
  <si>
    <t>1997.11</t>
    <phoneticPr fontId="1" type="noConversion"/>
  </si>
  <si>
    <t>安徽宿州</t>
    <phoneticPr fontId="1" type="noConversion"/>
  </si>
  <si>
    <t>1998.09</t>
    <phoneticPr fontId="1" type="noConversion"/>
  </si>
  <si>
    <t>市城市管理监察支队</t>
    <phoneticPr fontId="1" type="noConversion"/>
  </si>
  <si>
    <t>1992.07</t>
    <phoneticPr fontId="1" type="noConversion"/>
  </si>
  <si>
    <t>1994.03</t>
    <phoneticPr fontId="1" type="noConversion"/>
  </si>
  <si>
    <t>1993.10</t>
    <phoneticPr fontId="1" type="noConversion"/>
  </si>
  <si>
    <t>1997.11</t>
    <phoneticPr fontId="1" type="noConversion"/>
  </si>
  <si>
    <t>1995.10</t>
    <phoneticPr fontId="1" type="noConversion"/>
  </si>
  <si>
    <t>1996.09</t>
    <phoneticPr fontId="1" type="noConversion"/>
  </si>
  <si>
    <t>1995.12</t>
    <phoneticPr fontId="1" type="noConversion"/>
  </si>
  <si>
    <t>淮北职业技术学院</t>
    <phoneticPr fontId="1" type="noConversion"/>
  </si>
  <si>
    <t>1990.08</t>
    <phoneticPr fontId="1" type="noConversion"/>
  </si>
  <si>
    <t>1996.07</t>
    <phoneticPr fontId="1" type="noConversion"/>
  </si>
  <si>
    <t>1989.11</t>
    <phoneticPr fontId="1" type="noConversion"/>
  </si>
  <si>
    <t>1990.07</t>
    <phoneticPr fontId="1" type="noConversion"/>
  </si>
  <si>
    <t>1998.06</t>
    <phoneticPr fontId="1" type="noConversion"/>
  </si>
  <si>
    <t>1995.09</t>
    <phoneticPr fontId="1" type="noConversion"/>
  </si>
  <si>
    <t>1994.02</t>
    <phoneticPr fontId="1" type="noConversion"/>
  </si>
  <si>
    <t>1996.10</t>
    <phoneticPr fontId="1" type="noConversion"/>
  </si>
  <si>
    <t>相山区党群服务中心</t>
    <phoneticPr fontId="1" type="noConversion"/>
  </si>
  <si>
    <t>安徽蒙城</t>
    <phoneticPr fontId="1" type="noConversion"/>
  </si>
  <si>
    <t>相山区党群服务中心</t>
    <phoneticPr fontId="1" type="noConversion"/>
  </si>
  <si>
    <t>1986.10</t>
    <phoneticPr fontId="1" type="noConversion"/>
  </si>
  <si>
    <t>安徽宿州</t>
    <phoneticPr fontId="1" type="noConversion"/>
  </si>
  <si>
    <t>相山区建设工程质量安全监督管理站</t>
    <phoneticPr fontId="1" type="noConversion"/>
  </si>
  <si>
    <t>1997.10</t>
    <phoneticPr fontId="1" type="noConversion"/>
  </si>
  <si>
    <t>山东枣庄</t>
    <phoneticPr fontId="1" type="noConversion"/>
  </si>
  <si>
    <t>相山区物业管理中心</t>
    <phoneticPr fontId="1" type="noConversion"/>
  </si>
  <si>
    <t>1993.12</t>
    <phoneticPr fontId="1" type="noConversion"/>
  </si>
  <si>
    <t>杜集区社会治安综合治理中心</t>
    <phoneticPr fontId="6" type="noConversion"/>
  </si>
  <si>
    <t>1995.04</t>
    <phoneticPr fontId="1" type="noConversion"/>
  </si>
  <si>
    <t>1996.09</t>
    <phoneticPr fontId="1" type="noConversion"/>
  </si>
  <si>
    <t>1999.10</t>
    <phoneticPr fontId="1" type="noConversion"/>
  </si>
  <si>
    <t>1996.12</t>
    <phoneticPr fontId="1" type="noConversion"/>
  </si>
  <si>
    <t>1987.09</t>
    <phoneticPr fontId="1" type="noConversion"/>
  </si>
  <si>
    <t>杜集区农村合作经济管理站（农业信息中心）</t>
    <phoneticPr fontId="1" type="noConversion"/>
  </si>
  <si>
    <t>1994.05</t>
    <phoneticPr fontId="1" type="noConversion"/>
  </si>
  <si>
    <t>1999.07</t>
    <phoneticPr fontId="1" type="noConversion"/>
  </si>
  <si>
    <t>1992.02</t>
    <phoneticPr fontId="1" type="noConversion"/>
  </si>
  <si>
    <t>1998.05</t>
    <phoneticPr fontId="1" type="noConversion"/>
  </si>
  <si>
    <t>1995.09</t>
    <phoneticPr fontId="1" type="noConversion"/>
  </si>
  <si>
    <t>1996.03</t>
    <phoneticPr fontId="1" type="noConversion"/>
  </si>
  <si>
    <t>安徽亳州</t>
    <phoneticPr fontId="1" type="noConversion"/>
  </si>
  <si>
    <t>1996.10</t>
    <phoneticPr fontId="1" type="noConversion"/>
  </si>
  <si>
    <t>安徽宿州</t>
    <phoneticPr fontId="1" type="noConversion"/>
  </si>
  <si>
    <t>1995.08</t>
    <phoneticPr fontId="1" type="noConversion"/>
  </si>
  <si>
    <t>1997.03</t>
    <phoneticPr fontId="1" type="noConversion"/>
  </si>
  <si>
    <t>1994.12</t>
    <phoneticPr fontId="1" type="noConversion"/>
  </si>
  <si>
    <t>1997.09</t>
    <phoneticPr fontId="1" type="noConversion"/>
  </si>
  <si>
    <t>1999.09</t>
    <phoneticPr fontId="1" type="noConversion"/>
  </si>
  <si>
    <t>1997.10</t>
    <phoneticPr fontId="1" type="noConversion"/>
  </si>
  <si>
    <t>1995.10</t>
    <phoneticPr fontId="1" type="noConversion"/>
  </si>
  <si>
    <t>1998.01</t>
    <phoneticPr fontId="1" type="noConversion"/>
  </si>
  <si>
    <t>1990.07</t>
    <phoneticPr fontId="1" type="noConversion"/>
  </si>
  <si>
    <t>1994.11</t>
    <phoneticPr fontId="1" type="noConversion"/>
  </si>
  <si>
    <t>1991.09</t>
    <phoneticPr fontId="1" type="noConversion"/>
  </si>
  <si>
    <t>1997.12</t>
    <phoneticPr fontId="1" type="noConversion"/>
  </si>
  <si>
    <t>1999.05</t>
    <phoneticPr fontId="1" type="noConversion"/>
  </si>
  <si>
    <t>1997.04</t>
    <phoneticPr fontId="1" type="noConversion"/>
  </si>
  <si>
    <t>1995.03</t>
    <phoneticPr fontId="1" type="noConversion"/>
  </si>
  <si>
    <t>1998.08</t>
    <phoneticPr fontId="1" type="noConversion"/>
  </si>
  <si>
    <t>1996.04</t>
    <phoneticPr fontId="1" type="noConversion"/>
  </si>
  <si>
    <t>1990.01</t>
    <phoneticPr fontId="1" type="noConversion"/>
  </si>
  <si>
    <t>1997.02</t>
    <phoneticPr fontId="1" type="noConversion"/>
  </si>
  <si>
    <t>杜集区教研室</t>
    <phoneticPr fontId="6" type="noConversion"/>
  </si>
  <si>
    <t>1999.01</t>
    <phoneticPr fontId="1" type="noConversion"/>
  </si>
  <si>
    <t>1996.12</t>
    <phoneticPr fontId="1" type="noConversion"/>
  </si>
  <si>
    <t>1995.07</t>
    <phoneticPr fontId="1" type="noConversion"/>
  </si>
  <si>
    <t>1991.06</t>
    <phoneticPr fontId="1" type="noConversion"/>
  </si>
  <si>
    <t>1990.10</t>
    <phoneticPr fontId="1" type="noConversion"/>
  </si>
  <si>
    <t>烈山区建设工程质量安全监督管理站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</si>
</sst>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8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topLeftCell="A223" zoomScale="115" zoomScaleNormal="115" workbookViewId="0">
      <selection activeCell="J50" sqref="J50"/>
    </sheetView>
  </sheetViews>
  <sheetFormatPr defaultRowHeight="14.25"/>
  <cols>
    <col min="1" max="1" width="5.375" style="1" customWidth="1"/>
    <col min="2" max="2" width="8.875" style="5" customWidth="1"/>
    <col min="3" max="3" width="5.125" style="5" customWidth="1"/>
    <col min="4" max="4" width="9.875" style="5" customWidth="1"/>
    <col min="5" max="5" width="10" style="5" customWidth="1"/>
    <col min="6" max="6" width="16.75" style="6" customWidth="1"/>
    <col min="7" max="7" width="12.25" style="5" customWidth="1"/>
    <col min="8" max="8" width="36.125" style="6" customWidth="1"/>
    <col min="9" max="16384" width="9" style="1"/>
  </cols>
  <sheetData>
    <row r="1" spans="1:8" ht="69" customHeight="1">
      <c r="A1" s="16" t="s">
        <v>327</v>
      </c>
      <c r="B1" s="16"/>
      <c r="C1" s="16"/>
      <c r="D1" s="16"/>
      <c r="E1" s="16"/>
      <c r="F1" s="16"/>
      <c r="G1" s="16"/>
      <c r="H1" s="16"/>
    </row>
    <row r="2" spans="1:8" ht="31.5" customHeight="1">
      <c r="A2" s="3" t="s">
        <v>253</v>
      </c>
      <c r="B2" s="3" t="s">
        <v>1</v>
      </c>
      <c r="C2" s="3" t="s">
        <v>2</v>
      </c>
      <c r="D2" s="3" t="s">
        <v>254</v>
      </c>
      <c r="E2" s="3" t="s">
        <v>255</v>
      </c>
      <c r="F2" s="3" t="s">
        <v>0</v>
      </c>
      <c r="G2" s="3" t="s">
        <v>3</v>
      </c>
      <c r="H2" s="11" t="s">
        <v>326</v>
      </c>
    </row>
    <row r="3" spans="1:8" ht="18.95" customHeight="1">
      <c r="A3" s="4">
        <v>1</v>
      </c>
      <c r="B3" s="7" t="str">
        <f>"李梦楠"</f>
        <v>李梦楠</v>
      </c>
      <c r="C3" s="7" t="str">
        <f>"女"</f>
        <v>女</v>
      </c>
      <c r="D3" s="7" t="str">
        <f>"安徽凤阳"</f>
        <v>安徽凤阳</v>
      </c>
      <c r="E3" s="9" t="str">
        <f>"1997.08"</f>
        <v>1997.08</v>
      </c>
      <c r="F3" s="8" t="s">
        <v>112</v>
      </c>
      <c r="G3" s="7" t="str">
        <f>"2020013920"</f>
        <v>2020013920</v>
      </c>
      <c r="H3" s="12" t="s">
        <v>214</v>
      </c>
    </row>
    <row r="4" spans="1:8" ht="18.95" customHeight="1">
      <c r="A4" s="4">
        <v>2</v>
      </c>
      <c r="B4" s="7" t="str">
        <f>"刘文立"</f>
        <v>刘文立</v>
      </c>
      <c r="C4" s="7" t="str">
        <f>"女"</f>
        <v>女</v>
      </c>
      <c r="D4" s="7" t="str">
        <f>"江苏丰县"</f>
        <v>江苏丰县</v>
      </c>
      <c r="E4" s="9" t="str">
        <f>"1998.10"</f>
        <v>1998.10</v>
      </c>
      <c r="F4" s="8" t="s">
        <v>26</v>
      </c>
      <c r="G4" s="7" t="str">
        <f>"2020032819"</f>
        <v>2020032819</v>
      </c>
      <c r="H4" s="13" t="s">
        <v>256</v>
      </c>
    </row>
    <row r="5" spans="1:8" ht="18.95" customHeight="1">
      <c r="A5" s="4">
        <v>3</v>
      </c>
      <c r="B5" s="7" t="str">
        <f>"周胜男"</f>
        <v>周胜男</v>
      </c>
      <c r="C5" s="7" t="str">
        <f>"女"</f>
        <v>女</v>
      </c>
      <c r="D5" s="7" t="str">
        <f>"安徽淮北"</f>
        <v>安徽淮北</v>
      </c>
      <c r="E5" s="7" t="str">
        <f>"1989.10"</f>
        <v>1989.10</v>
      </c>
      <c r="F5" s="8" t="s">
        <v>23</v>
      </c>
      <c r="G5" s="7" t="str">
        <f>"2020043825"</f>
        <v>2020043825</v>
      </c>
      <c r="H5" s="13" t="s">
        <v>256</v>
      </c>
    </row>
    <row r="6" spans="1:8" ht="18.95" customHeight="1">
      <c r="A6" s="4">
        <v>4</v>
      </c>
      <c r="B6" s="7" t="str">
        <f>"刘炜方"</f>
        <v>刘炜方</v>
      </c>
      <c r="C6" s="7" t="str">
        <f>"男"</f>
        <v>男</v>
      </c>
      <c r="D6" s="7" t="str">
        <f>"山东沂水"</f>
        <v>山东沂水</v>
      </c>
      <c r="E6" s="7">
        <v>1990.11</v>
      </c>
      <c r="F6" s="8" t="s">
        <v>153</v>
      </c>
      <c r="G6" s="7" t="str">
        <f>"2020047207"</f>
        <v>2020047207</v>
      </c>
      <c r="H6" s="13" t="s">
        <v>257</v>
      </c>
    </row>
    <row r="7" spans="1:8" ht="18.95" customHeight="1">
      <c r="A7" s="4">
        <v>5</v>
      </c>
      <c r="B7" s="7" t="str">
        <f>"周百通"</f>
        <v>周百通</v>
      </c>
      <c r="C7" s="7" t="str">
        <f>"男"</f>
        <v>男</v>
      </c>
      <c r="D7" s="7" t="str">
        <f>"安徽濉溪"</f>
        <v>安徽濉溪</v>
      </c>
      <c r="E7" s="10" t="s">
        <v>260</v>
      </c>
      <c r="F7" s="8" t="s">
        <v>38</v>
      </c>
      <c r="G7" s="7" t="str">
        <f>"2020012911"</f>
        <v>2020012911</v>
      </c>
      <c r="H7" s="13" t="s">
        <v>257</v>
      </c>
    </row>
    <row r="8" spans="1:8" s="2" customFormat="1" ht="18.95" customHeight="1">
      <c r="A8" s="4">
        <v>6</v>
      </c>
      <c r="B8" s="7" t="s">
        <v>184</v>
      </c>
      <c r="C8" s="7" t="s">
        <v>185</v>
      </c>
      <c r="D8" s="7" t="str">
        <f>"安徽濉溪"</f>
        <v>安徽濉溪</v>
      </c>
      <c r="E8" s="7">
        <v>1990.09</v>
      </c>
      <c r="F8" s="8" t="s">
        <v>38</v>
      </c>
      <c r="G8" s="7">
        <v>2020033209</v>
      </c>
      <c r="H8" s="13" t="s">
        <v>257</v>
      </c>
    </row>
    <row r="9" spans="1:8" ht="18.95" customHeight="1">
      <c r="A9" s="4">
        <v>7</v>
      </c>
      <c r="B9" s="7" t="str">
        <f>"马云龙"</f>
        <v>马云龙</v>
      </c>
      <c r="C9" s="7" t="str">
        <f>"男"</f>
        <v>男</v>
      </c>
      <c r="D9" s="7" t="str">
        <f>"安徽宿州"</f>
        <v>安徽宿州</v>
      </c>
      <c r="E9" s="7">
        <v>1996.11</v>
      </c>
      <c r="F9" s="8" t="s">
        <v>103</v>
      </c>
      <c r="G9" s="7" t="str">
        <f>"2020045904"</f>
        <v>2020045904</v>
      </c>
      <c r="H9" s="12" t="s">
        <v>258</v>
      </c>
    </row>
    <row r="10" spans="1:8" ht="18.95" customHeight="1">
      <c r="A10" s="4">
        <v>8</v>
      </c>
      <c r="B10" s="7" t="str">
        <f>"石佳"</f>
        <v>石佳</v>
      </c>
      <c r="C10" s="7" t="str">
        <f>"男"</f>
        <v>男</v>
      </c>
      <c r="D10" s="7" t="str">
        <f>"安徽濉溪"</f>
        <v>安徽濉溪</v>
      </c>
      <c r="E10" s="7">
        <v>1998.02</v>
      </c>
      <c r="F10" s="8" t="s">
        <v>119</v>
      </c>
      <c r="G10" s="7" t="str">
        <f>"2020044005"</f>
        <v>2020044005</v>
      </c>
      <c r="H10" s="12" t="s">
        <v>259</v>
      </c>
    </row>
    <row r="11" spans="1:8" ht="18.95" customHeight="1">
      <c r="A11" s="4">
        <v>9</v>
      </c>
      <c r="B11" s="7" t="str">
        <f>"孟晶晶"</f>
        <v>孟晶晶</v>
      </c>
      <c r="C11" s="7" t="str">
        <f t="shared" ref="C11:C16" si="0">"女"</f>
        <v>女</v>
      </c>
      <c r="D11" s="7" t="str">
        <f>"安徽宿州"</f>
        <v>安徽宿州</v>
      </c>
      <c r="E11" s="7">
        <v>1995.08</v>
      </c>
      <c r="F11" s="8" t="s">
        <v>46</v>
      </c>
      <c r="G11" s="7" t="str">
        <f>"2020024025"</f>
        <v>2020024025</v>
      </c>
      <c r="H11" s="13" t="s">
        <v>215</v>
      </c>
    </row>
    <row r="12" spans="1:8" ht="18.95" customHeight="1">
      <c r="A12" s="4">
        <v>10</v>
      </c>
      <c r="B12" s="7" t="str">
        <f>"刘妍秋"</f>
        <v>刘妍秋</v>
      </c>
      <c r="C12" s="7" t="str">
        <f t="shared" si="0"/>
        <v>女</v>
      </c>
      <c r="D12" s="7" t="str">
        <f>"安徽淮北"</f>
        <v>安徽淮北</v>
      </c>
      <c r="E12" s="10" t="s">
        <v>261</v>
      </c>
      <c r="F12" s="8" t="s">
        <v>46</v>
      </c>
      <c r="G12" s="7" t="str">
        <f>"2020046827"</f>
        <v>2020046827</v>
      </c>
      <c r="H12" s="13" t="s">
        <v>215</v>
      </c>
    </row>
    <row r="13" spans="1:8" ht="18.95" customHeight="1">
      <c r="A13" s="4">
        <v>11</v>
      </c>
      <c r="B13" s="7" t="str">
        <f>"高薇"</f>
        <v>高薇</v>
      </c>
      <c r="C13" s="7" t="str">
        <f t="shared" si="0"/>
        <v>女</v>
      </c>
      <c r="D13" s="7" t="str">
        <f>"安徽萧县"</f>
        <v>安徽萧县</v>
      </c>
      <c r="E13" s="10" t="s">
        <v>262</v>
      </c>
      <c r="F13" s="8" t="s">
        <v>40</v>
      </c>
      <c r="G13" s="7" t="str">
        <f>"2020046602"</f>
        <v>2020046602</v>
      </c>
      <c r="H13" s="13" t="s">
        <v>216</v>
      </c>
    </row>
    <row r="14" spans="1:8" ht="18.95" customHeight="1">
      <c r="A14" s="4">
        <v>12</v>
      </c>
      <c r="B14" s="7" t="str">
        <f>"张楠楠"</f>
        <v>张楠楠</v>
      </c>
      <c r="C14" s="7" t="str">
        <f t="shared" si="0"/>
        <v>女</v>
      </c>
      <c r="D14" s="7" t="str">
        <f>"安徽阜阳"</f>
        <v>安徽阜阳</v>
      </c>
      <c r="E14" s="10" t="s">
        <v>263</v>
      </c>
      <c r="F14" s="8" t="s">
        <v>40</v>
      </c>
      <c r="G14" s="7" t="str">
        <f>"2020013513"</f>
        <v>2020013513</v>
      </c>
      <c r="H14" s="13" t="s">
        <v>216</v>
      </c>
    </row>
    <row r="15" spans="1:8" ht="18.95" customHeight="1">
      <c r="A15" s="4">
        <v>13</v>
      </c>
      <c r="B15" s="7" t="str">
        <f>"杨晓钰"</f>
        <v>杨晓钰</v>
      </c>
      <c r="C15" s="7" t="str">
        <f t="shared" si="0"/>
        <v>女</v>
      </c>
      <c r="D15" s="7" t="str">
        <f>"山东枣庄"</f>
        <v>山东枣庄</v>
      </c>
      <c r="E15" s="10" t="s">
        <v>264</v>
      </c>
      <c r="F15" s="8" t="s">
        <v>48</v>
      </c>
      <c r="G15" s="7" t="str">
        <f>"2020047512"</f>
        <v>2020047512</v>
      </c>
      <c r="H15" s="13" t="s">
        <v>216</v>
      </c>
    </row>
    <row r="16" spans="1:8" ht="18.95" customHeight="1">
      <c r="A16" s="4">
        <v>14</v>
      </c>
      <c r="B16" s="7" t="str">
        <f>"孙雅冰"</f>
        <v>孙雅冰</v>
      </c>
      <c r="C16" s="7" t="str">
        <f t="shared" si="0"/>
        <v>女</v>
      </c>
      <c r="D16" s="7" t="str">
        <f>"山东枣庄"</f>
        <v>山东枣庄</v>
      </c>
      <c r="E16" s="10" t="s">
        <v>265</v>
      </c>
      <c r="F16" s="8" t="s">
        <v>179</v>
      </c>
      <c r="G16" s="7" t="str">
        <f>"2020047524"</f>
        <v>2020047524</v>
      </c>
      <c r="H16" s="13" t="s">
        <v>216</v>
      </c>
    </row>
    <row r="17" spans="1:8" ht="18.95" customHeight="1">
      <c r="A17" s="4">
        <v>15</v>
      </c>
      <c r="B17" s="7" t="str">
        <f>"周启航"</f>
        <v>周启航</v>
      </c>
      <c r="C17" s="7" t="str">
        <f>"男"</f>
        <v>男</v>
      </c>
      <c r="D17" s="7" t="str">
        <f t="shared" ref="D17:D19" si="1">"安徽淮北"</f>
        <v>安徽淮北</v>
      </c>
      <c r="E17" s="10" t="s">
        <v>266</v>
      </c>
      <c r="F17" s="8" t="s">
        <v>28</v>
      </c>
      <c r="G17" s="7" t="str">
        <f>"2020012719"</f>
        <v>2020012719</v>
      </c>
      <c r="H17" s="13" t="s">
        <v>216</v>
      </c>
    </row>
    <row r="18" spans="1:8" ht="18.95" customHeight="1">
      <c r="A18" s="4">
        <v>16</v>
      </c>
      <c r="B18" s="7" t="str">
        <f>"丁冉"</f>
        <v>丁冉</v>
      </c>
      <c r="C18" s="7" t="str">
        <f>"女"</f>
        <v>女</v>
      </c>
      <c r="D18" s="7" t="str">
        <f t="shared" si="1"/>
        <v>安徽淮北</v>
      </c>
      <c r="E18" s="10" t="s">
        <v>267</v>
      </c>
      <c r="F18" s="8" t="s">
        <v>28</v>
      </c>
      <c r="G18" s="7" t="str">
        <f>"2020043913"</f>
        <v>2020043913</v>
      </c>
      <c r="H18" s="13" t="s">
        <v>216</v>
      </c>
    </row>
    <row r="19" spans="1:8" ht="18.95" customHeight="1">
      <c r="A19" s="4">
        <v>17</v>
      </c>
      <c r="B19" s="7" t="str">
        <f>"徐征宇"</f>
        <v>徐征宇</v>
      </c>
      <c r="C19" s="7" t="str">
        <f>"女"</f>
        <v>女</v>
      </c>
      <c r="D19" s="7" t="str">
        <f t="shared" si="1"/>
        <v>安徽淮北</v>
      </c>
      <c r="E19" s="10" t="s">
        <v>268</v>
      </c>
      <c r="F19" s="8" t="s">
        <v>180</v>
      </c>
      <c r="G19" s="7" t="str">
        <f>"2020042015"</f>
        <v>2020042015</v>
      </c>
      <c r="H19" s="13" t="s">
        <v>216</v>
      </c>
    </row>
    <row r="20" spans="1:8" ht="18.95" customHeight="1">
      <c r="A20" s="4">
        <v>18</v>
      </c>
      <c r="B20" s="7" t="str">
        <f>"吴颂"</f>
        <v>吴颂</v>
      </c>
      <c r="C20" s="7" t="str">
        <f>"女"</f>
        <v>女</v>
      </c>
      <c r="D20" s="7" t="str">
        <f>"安徽萧县"</f>
        <v>安徽萧县</v>
      </c>
      <c r="E20" s="10" t="s">
        <v>269</v>
      </c>
      <c r="F20" s="8" t="s">
        <v>31</v>
      </c>
      <c r="G20" s="7" t="str">
        <f>"2020010817"</f>
        <v>2020010817</v>
      </c>
      <c r="H20" s="13" t="s">
        <v>216</v>
      </c>
    </row>
    <row r="21" spans="1:8" ht="18.95" customHeight="1">
      <c r="A21" s="4">
        <v>19</v>
      </c>
      <c r="B21" s="7" t="str">
        <f>"卢家辉"</f>
        <v>卢家辉</v>
      </c>
      <c r="C21" s="7" t="str">
        <f>"男"</f>
        <v>男</v>
      </c>
      <c r="D21" s="7" t="str">
        <f>"浙江温岭"</f>
        <v>浙江温岭</v>
      </c>
      <c r="E21" s="10" t="s">
        <v>270</v>
      </c>
      <c r="F21" s="8" t="s">
        <v>85</v>
      </c>
      <c r="G21" s="7" t="str">
        <f>"2020042908"</f>
        <v>2020042908</v>
      </c>
      <c r="H21" s="13" t="s">
        <v>216</v>
      </c>
    </row>
    <row r="22" spans="1:8" ht="18.95" customHeight="1">
      <c r="A22" s="4">
        <v>20</v>
      </c>
      <c r="B22" s="7" t="str">
        <f>"丁子浩"</f>
        <v>丁子浩</v>
      </c>
      <c r="C22" s="7" t="str">
        <f>"男"</f>
        <v>男</v>
      </c>
      <c r="D22" s="7" t="str">
        <f t="shared" ref="D22:D23" si="2">"安徽淮北"</f>
        <v>安徽淮北</v>
      </c>
      <c r="E22" s="10" t="s">
        <v>271</v>
      </c>
      <c r="F22" s="8" t="s">
        <v>174</v>
      </c>
      <c r="G22" s="7" t="str">
        <f>"2020021228"</f>
        <v>2020021228</v>
      </c>
      <c r="H22" s="13" t="s">
        <v>216</v>
      </c>
    </row>
    <row r="23" spans="1:8" ht="18.95" customHeight="1">
      <c r="A23" s="4">
        <v>21</v>
      </c>
      <c r="B23" s="7" t="str">
        <f>"况敬凯"</f>
        <v>况敬凯</v>
      </c>
      <c r="C23" s="7" t="str">
        <f>"男"</f>
        <v>男</v>
      </c>
      <c r="D23" s="7" t="str">
        <f t="shared" si="2"/>
        <v>安徽淮北</v>
      </c>
      <c r="E23" s="10" t="s">
        <v>269</v>
      </c>
      <c r="F23" s="8" t="s">
        <v>29</v>
      </c>
      <c r="G23" s="7" t="str">
        <f>"2020045723"</f>
        <v>2020045723</v>
      </c>
      <c r="H23" s="13" t="s">
        <v>216</v>
      </c>
    </row>
    <row r="24" spans="1:8" ht="18.95" customHeight="1">
      <c r="A24" s="4">
        <v>22</v>
      </c>
      <c r="B24" s="7" t="str">
        <f>"谷利梅"</f>
        <v>谷利梅</v>
      </c>
      <c r="C24" s="7" t="str">
        <f>"女"</f>
        <v>女</v>
      </c>
      <c r="D24" s="7" t="str">
        <f>"安徽濉溪"</f>
        <v>安徽濉溪</v>
      </c>
      <c r="E24" s="10" t="s">
        <v>272</v>
      </c>
      <c r="F24" s="8" t="s">
        <v>29</v>
      </c>
      <c r="G24" s="7" t="str">
        <f>"2020033413"</f>
        <v>2020033413</v>
      </c>
      <c r="H24" s="13" t="s">
        <v>216</v>
      </c>
    </row>
    <row r="25" spans="1:8" ht="18.95" customHeight="1">
      <c r="A25" s="4">
        <v>23</v>
      </c>
      <c r="B25" s="7" t="str">
        <f>"冯永康"</f>
        <v>冯永康</v>
      </c>
      <c r="C25" s="7" t="str">
        <f>"男"</f>
        <v>男</v>
      </c>
      <c r="D25" s="7" t="str">
        <f>"安徽淮北"</f>
        <v>安徽淮北</v>
      </c>
      <c r="E25" s="10" t="s">
        <v>273</v>
      </c>
      <c r="F25" s="8" t="s">
        <v>12</v>
      </c>
      <c r="G25" s="7" t="str">
        <f>"2020042311"</f>
        <v>2020042311</v>
      </c>
      <c r="H25" s="13" t="s">
        <v>216</v>
      </c>
    </row>
    <row r="26" spans="1:8" ht="18.95" customHeight="1">
      <c r="A26" s="4">
        <v>24</v>
      </c>
      <c r="B26" s="7" t="str">
        <f>"张敏"</f>
        <v>张敏</v>
      </c>
      <c r="C26" s="7" t="str">
        <f>"女"</f>
        <v>女</v>
      </c>
      <c r="D26" s="7" t="str">
        <f>"安徽淮北"</f>
        <v>安徽淮北</v>
      </c>
      <c r="E26" s="10" t="s">
        <v>274</v>
      </c>
      <c r="F26" s="8" t="s">
        <v>12</v>
      </c>
      <c r="G26" s="7" t="str">
        <f>"2020023013"</f>
        <v>2020023013</v>
      </c>
      <c r="H26" s="13" t="s">
        <v>216</v>
      </c>
    </row>
    <row r="27" spans="1:8" ht="18.95" customHeight="1">
      <c r="A27" s="4">
        <v>25</v>
      </c>
      <c r="B27" s="7" t="str">
        <f>"葛佩佩"</f>
        <v>葛佩佩</v>
      </c>
      <c r="C27" s="7" t="str">
        <f>"女"</f>
        <v>女</v>
      </c>
      <c r="D27" s="7" t="str">
        <f>"安徽临泉"</f>
        <v>安徽临泉</v>
      </c>
      <c r="E27" s="10" t="s">
        <v>275</v>
      </c>
      <c r="F27" s="8" t="s">
        <v>12</v>
      </c>
      <c r="G27" s="7" t="str">
        <f>"2020030120"</f>
        <v>2020030120</v>
      </c>
      <c r="H27" s="13" t="s">
        <v>216</v>
      </c>
    </row>
    <row r="28" spans="1:8" ht="18.95" customHeight="1">
      <c r="A28" s="4">
        <v>26</v>
      </c>
      <c r="B28" s="7" t="str">
        <f>"何钦"</f>
        <v>何钦</v>
      </c>
      <c r="C28" s="7" t="str">
        <f>"男"</f>
        <v>男</v>
      </c>
      <c r="D28" s="7" t="str">
        <f>"安徽怀宁"</f>
        <v>安徽怀宁</v>
      </c>
      <c r="E28" s="10" t="s">
        <v>276</v>
      </c>
      <c r="F28" s="8" t="s">
        <v>73</v>
      </c>
      <c r="G28" s="7" t="str">
        <f>"2020020125"</f>
        <v>2020020125</v>
      </c>
      <c r="H28" s="13" t="s">
        <v>216</v>
      </c>
    </row>
    <row r="29" spans="1:8" ht="18.95" customHeight="1">
      <c r="A29" s="4">
        <v>27</v>
      </c>
      <c r="B29" s="7" t="str">
        <f>"何倩"</f>
        <v>何倩</v>
      </c>
      <c r="C29" s="7" t="str">
        <f>"女"</f>
        <v>女</v>
      </c>
      <c r="D29" s="7" t="str">
        <f>"江苏宿迁"</f>
        <v>江苏宿迁</v>
      </c>
      <c r="E29" s="10" t="s">
        <v>277</v>
      </c>
      <c r="F29" s="8" t="s">
        <v>66</v>
      </c>
      <c r="G29" s="7" t="str">
        <f>"2020022222"</f>
        <v>2020022222</v>
      </c>
      <c r="H29" s="13" t="s">
        <v>216</v>
      </c>
    </row>
    <row r="30" spans="1:8" ht="18.95" customHeight="1">
      <c r="A30" s="4">
        <v>28</v>
      </c>
      <c r="B30" s="7" t="str">
        <f>"周志宇"</f>
        <v>周志宇</v>
      </c>
      <c r="C30" s="7" t="str">
        <f>"男"</f>
        <v>男</v>
      </c>
      <c r="D30" s="7" t="str">
        <f>"安徽天长"</f>
        <v>安徽天长</v>
      </c>
      <c r="E30" s="10" t="s">
        <v>278</v>
      </c>
      <c r="F30" s="8" t="s">
        <v>129</v>
      </c>
      <c r="G30" s="7" t="str">
        <f>"2020030729"</f>
        <v>2020030729</v>
      </c>
      <c r="H30" s="13" t="s">
        <v>216</v>
      </c>
    </row>
    <row r="31" spans="1:8" ht="18.95" customHeight="1">
      <c r="A31" s="4">
        <v>29</v>
      </c>
      <c r="B31" s="7" t="str">
        <f>"王夏"</f>
        <v>王夏</v>
      </c>
      <c r="C31" s="7" t="str">
        <f>"男"</f>
        <v>男</v>
      </c>
      <c r="D31" s="7" t="str">
        <f t="shared" ref="D31:D32" si="3">"安徽淮北"</f>
        <v>安徽淮北</v>
      </c>
      <c r="E31" s="10" t="s">
        <v>279</v>
      </c>
      <c r="F31" s="8" t="s">
        <v>45</v>
      </c>
      <c r="G31" s="7" t="str">
        <f>"2020042722"</f>
        <v>2020042722</v>
      </c>
      <c r="H31" s="13" t="s">
        <v>216</v>
      </c>
    </row>
    <row r="32" spans="1:8" ht="18.95" customHeight="1">
      <c r="A32" s="4">
        <v>30</v>
      </c>
      <c r="B32" s="7" t="str">
        <f>"荣婉君"</f>
        <v>荣婉君</v>
      </c>
      <c r="C32" s="7" t="str">
        <f>"女"</f>
        <v>女</v>
      </c>
      <c r="D32" s="7" t="str">
        <f t="shared" si="3"/>
        <v>安徽淮北</v>
      </c>
      <c r="E32" s="10" t="s">
        <v>280</v>
      </c>
      <c r="F32" s="8" t="s">
        <v>145</v>
      </c>
      <c r="G32" s="7" t="str">
        <f>"2020011020"</f>
        <v>2020011020</v>
      </c>
      <c r="H32" s="13" t="s">
        <v>216</v>
      </c>
    </row>
    <row r="33" spans="1:8" ht="18.95" customHeight="1">
      <c r="A33" s="4">
        <v>31</v>
      </c>
      <c r="B33" s="7" t="str">
        <f>"许立天"</f>
        <v>许立天</v>
      </c>
      <c r="C33" s="7" t="str">
        <f>"男"</f>
        <v>男</v>
      </c>
      <c r="D33" s="7" t="str">
        <f>"山东莒南"</f>
        <v>山东莒南</v>
      </c>
      <c r="E33" s="10" t="s">
        <v>281</v>
      </c>
      <c r="F33" s="8" t="s">
        <v>113</v>
      </c>
      <c r="G33" s="7" t="str">
        <f>"2020047507"</f>
        <v>2020047507</v>
      </c>
      <c r="H33" s="13" t="s">
        <v>216</v>
      </c>
    </row>
    <row r="34" spans="1:8" ht="18.95" customHeight="1">
      <c r="A34" s="4">
        <v>32</v>
      </c>
      <c r="B34" s="7" t="str">
        <f>"魏敬赛 "</f>
        <v xml:space="preserve">魏敬赛 </v>
      </c>
      <c r="C34" s="7" t="str">
        <f>"男"</f>
        <v>男</v>
      </c>
      <c r="D34" s="7" t="str">
        <f>"安徽宿州"</f>
        <v>安徽宿州</v>
      </c>
      <c r="E34" s="10" t="s">
        <v>275</v>
      </c>
      <c r="F34" s="8" t="s">
        <v>137</v>
      </c>
      <c r="G34" s="7" t="str">
        <f>"2020012016"</f>
        <v>2020012016</v>
      </c>
      <c r="H34" s="12" t="s">
        <v>217</v>
      </c>
    </row>
    <row r="35" spans="1:8" ht="18.95" customHeight="1">
      <c r="A35" s="4">
        <v>33</v>
      </c>
      <c r="B35" s="7" t="str">
        <f>"谢子轶"</f>
        <v>谢子轶</v>
      </c>
      <c r="C35" s="7" t="str">
        <f>"女"</f>
        <v>女</v>
      </c>
      <c r="D35" s="7" t="str">
        <f>"安徽淮北"</f>
        <v>安徽淮北</v>
      </c>
      <c r="E35" s="10" t="s">
        <v>282</v>
      </c>
      <c r="F35" s="8" t="s">
        <v>101</v>
      </c>
      <c r="G35" s="7" t="str">
        <f>"2020033601"</f>
        <v>2020033601</v>
      </c>
      <c r="H35" s="13" t="s">
        <v>218</v>
      </c>
    </row>
    <row r="36" spans="1:8" ht="18.95" customHeight="1">
      <c r="A36" s="4">
        <v>34</v>
      </c>
      <c r="B36" s="7" t="str">
        <f>"李方一"</f>
        <v>李方一</v>
      </c>
      <c r="C36" s="7" t="str">
        <f>"男"</f>
        <v>男</v>
      </c>
      <c r="D36" s="7" t="str">
        <f>"安徽淮北"</f>
        <v>安徽淮北</v>
      </c>
      <c r="E36" s="10" t="s">
        <v>283</v>
      </c>
      <c r="F36" s="8" t="s">
        <v>148</v>
      </c>
      <c r="G36" s="7" t="str">
        <f>"2020041804"</f>
        <v>2020041804</v>
      </c>
      <c r="H36" s="13" t="s">
        <v>218</v>
      </c>
    </row>
    <row r="37" spans="1:8" ht="18.95" customHeight="1">
      <c r="A37" s="4">
        <v>35</v>
      </c>
      <c r="B37" s="7" t="str">
        <f>"马嘉伟"</f>
        <v>马嘉伟</v>
      </c>
      <c r="C37" s="7" t="str">
        <f>"男"</f>
        <v>男</v>
      </c>
      <c r="D37" s="7" t="str">
        <f>"安徽利辛"</f>
        <v>安徽利辛</v>
      </c>
      <c r="E37" s="10" t="s">
        <v>284</v>
      </c>
      <c r="F37" s="8" t="s">
        <v>71</v>
      </c>
      <c r="G37" s="7" t="str">
        <f>"2020023320"</f>
        <v>2020023320</v>
      </c>
      <c r="H37" s="13" t="s">
        <v>218</v>
      </c>
    </row>
    <row r="38" spans="1:8" ht="18.95" customHeight="1">
      <c r="A38" s="4">
        <v>36</v>
      </c>
      <c r="B38" s="7" t="str">
        <f>"袁兢"</f>
        <v>袁兢</v>
      </c>
      <c r="C38" s="7" t="str">
        <f>"女"</f>
        <v>女</v>
      </c>
      <c r="D38" s="7" t="str">
        <f>"安徽萧县"</f>
        <v>安徽萧县</v>
      </c>
      <c r="E38" s="10" t="s">
        <v>285</v>
      </c>
      <c r="F38" s="8" t="s">
        <v>68</v>
      </c>
      <c r="G38" s="7" t="str">
        <f>"2020031102"</f>
        <v>2020031102</v>
      </c>
      <c r="H38" s="12" t="s">
        <v>219</v>
      </c>
    </row>
    <row r="39" spans="1:8" ht="18.95" customHeight="1">
      <c r="A39" s="4">
        <v>37</v>
      </c>
      <c r="B39" s="7" t="str">
        <f>"张淋淋"</f>
        <v>张淋淋</v>
      </c>
      <c r="C39" s="7" t="str">
        <f>"女"</f>
        <v>女</v>
      </c>
      <c r="D39" s="7" t="str">
        <f>"安徽淮北"</f>
        <v>安徽淮北</v>
      </c>
      <c r="E39" s="10" t="s">
        <v>286</v>
      </c>
      <c r="F39" s="8" t="s">
        <v>98</v>
      </c>
      <c r="G39" s="7" t="str">
        <f>"2020045524"</f>
        <v>2020045524</v>
      </c>
      <c r="H39" s="13" t="s">
        <v>220</v>
      </c>
    </row>
    <row r="40" spans="1:8" ht="18.95" customHeight="1">
      <c r="A40" s="4">
        <v>38</v>
      </c>
      <c r="B40" s="7" t="str">
        <f>"王瑞"</f>
        <v>王瑞</v>
      </c>
      <c r="C40" s="7" t="str">
        <f>"女"</f>
        <v>女</v>
      </c>
      <c r="D40" s="7" t="str">
        <f t="shared" ref="D40:D41" si="4">"安徽濉溪"</f>
        <v>安徽濉溪</v>
      </c>
      <c r="E40" s="10" t="s">
        <v>287</v>
      </c>
      <c r="F40" s="8" t="s">
        <v>167</v>
      </c>
      <c r="G40" s="7" t="str">
        <f>"2020032001"</f>
        <v>2020032001</v>
      </c>
      <c r="H40" s="13" t="s">
        <v>220</v>
      </c>
    </row>
    <row r="41" spans="1:8" ht="18.95" customHeight="1">
      <c r="A41" s="4">
        <v>39</v>
      </c>
      <c r="B41" s="7" t="str">
        <f>"孟大干"</f>
        <v>孟大干</v>
      </c>
      <c r="C41" s="7" t="str">
        <f>"男"</f>
        <v>男</v>
      </c>
      <c r="D41" s="7" t="str">
        <f t="shared" si="4"/>
        <v>安徽濉溪</v>
      </c>
      <c r="E41" s="10" t="s">
        <v>288</v>
      </c>
      <c r="F41" s="8" t="s">
        <v>20</v>
      </c>
      <c r="G41" s="7" t="str">
        <f>"2020032908"</f>
        <v>2020032908</v>
      </c>
      <c r="H41" s="13" t="s">
        <v>221</v>
      </c>
    </row>
    <row r="42" spans="1:8" ht="18.95" customHeight="1">
      <c r="A42" s="4">
        <v>40</v>
      </c>
      <c r="B42" s="7" t="str">
        <f>"魏桦"</f>
        <v>魏桦</v>
      </c>
      <c r="C42" s="7" t="str">
        <f>"女"</f>
        <v>女</v>
      </c>
      <c r="D42" s="7" t="str">
        <f>"安徽淮北"</f>
        <v>安徽淮北</v>
      </c>
      <c r="E42" s="10" t="s">
        <v>289</v>
      </c>
      <c r="F42" s="8" t="s">
        <v>62</v>
      </c>
      <c r="G42" s="7" t="str">
        <f>"2020046922"</f>
        <v>2020046922</v>
      </c>
      <c r="H42" s="13" t="s">
        <v>221</v>
      </c>
    </row>
    <row r="43" spans="1:8" ht="18.95" customHeight="1">
      <c r="A43" s="4">
        <v>41</v>
      </c>
      <c r="B43" s="7" t="str">
        <f>"陈翰文"</f>
        <v>陈翰文</v>
      </c>
      <c r="C43" s="7" t="str">
        <f>"男"</f>
        <v>男</v>
      </c>
      <c r="D43" s="7" t="str">
        <f>"安徽淮北"</f>
        <v>安徽淮北</v>
      </c>
      <c r="E43" s="10" t="s">
        <v>268</v>
      </c>
      <c r="F43" s="8" t="s">
        <v>136</v>
      </c>
      <c r="G43" s="7" t="str">
        <f>"2020022711"</f>
        <v>2020022711</v>
      </c>
      <c r="H43" s="12" t="s">
        <v>222</v>
      </c>
    </row>
    <row r="44" spans="1:8" ht="18.95" customHeight="1">
      <c r="A44" s="4">
        <v>42</v>
      </c>
      <c r="B44" s="7" t="str">
        <f>"鲍亚萍"</f>
        <v>鲍亚萍</v>
      </c>
      <c r="C44" s="7" t="str">
        <f>"女"</f>
        <v>女</v>
      </c>
      <c r="D44" s="7" t="str">
        <f>"安徽萧县"</f>
        <v>安徽萧县</v>
      </c>
      <c r="E44" s="10" t="s">
        <v>290</v>
      </c>
      <c r="F44" s="8" t="s">
        <v>64</v>
      </c>
      <c r="G44" s="7" t="str">
        <f>"2020022308"</f>
        <v>2020022308</v>
      </c>
      <c r="H44" s="12" t="s">
        <v>223</v>
      </c>
    </row>
    <row r="45" spans="1:8" ht="18.95" customHeight="1">
      <c r="A45" s="4">
        <v>43</v>
      </c>
      <c r="B45" s="7" t="str">
        <f>"张广旭"</f>
        <v>张广旭</v>
      </c>
      <c r="C45" s="7" t="str">
        <f>"男"</f>
        <v>男</v>
      </c>
      <c r="D45" s="7" t="str">
        <f>"安徽肥东"</f>
        <v>安徽肥东</v>
      </c>
      <c r="E45" s="10" t="s">
        <v>291</v>
      </c>
      <c r="F45" s="8" t="s">
        <v>16</v>
      </c>
      <c r="G45" s="7" t="str">
        <f>"2020031024"</f>
        <v>2020031024</v>
      </c>
      <c r="H45" s="12" t="s">
        <v>224</v>
      </c>
    </row>
    <row r="46" spans="1:8" ht="18.95" customHeight="1">
      <c r="A46" s="4">
        <v>44</v>
      </c>
      <c r="B46" s="7" t="str">
        <f>"吴正亚"</f>
        <v>吴正亚</v>
      </c>
      <c r="C46" s="7" t="str">
        <f>"男"</f>
        <v>男</v>
      </c>
      <c r="D46" s="7" t="str">
        <f>"安徽定远"</f>
        <v>安徽定远</v>
      </c>
      <c r="E46" s="10" t="s">
        <v>292</v>
      </c>
      <c r="F46" s="8" t="s">
        <v>86</v>
      </c>
      <c r="G46" s="7" t="str">
        <f>"2020045407"</f>
        <v>2020045407</v>
      </c>
      <c r="H46" s="13" t="s">
        <v>225</v>
      </c>
    </row>
    <row r="47" spans="1:8" ht="18.95" customHeight="1">
      <c r="A47" s="4">
        <v>45</v>
      </c>
      <c r="B47" s="7" t="str">
        <f>"潘镜伊"</f>
        <v>潘镜伊</v>
      </c>
      <c r="C47" s="7" t="str">
        <f>"女"</f>
        <v>女</v>
      </c>
      <c r="D47" s="7" t="str">
        <f>"安徽淮北"</f>
        <v>安徽淮北</v>
      </c>
      <c r="E47" s="10" t="s">
        <v>293</v>
      </c>
      <c r="F47" s="8" t="s">
        <v>86</v>
      </c>
      <c r="G47" s="7" t="str">
        <f>"2020046029"</f>
        <v>2020046029</v>
      </c>
      <c r="H47" s="13" t="s">
        <v>225</v>
      </c>
    </row>
    <row r="48" spans="1:8" ht="18.95" customHeight="1">
      <c r="A48" s="4">
        <v>46</v>
      </c>
      <c r="B48" s="7" t="str">
        <f>"吕慕楠"</f>
        <v>吕慕楠</v>
      </c>
      <c r="C48" s="7" t="str">
        <f>"男"</f>
        <v>男</v>
      </c>
      <c r="D48" s="7" t="str">
        <f>"安徽利辛"</f>
        <v>安徽利辛</v>
      </c>
      <c r="E48" s="10" t="s">
        <v>294</v>
      </c>
      <c r="F48" s="8" t="s">
        <v>134</v>
      </c>
      <c r="G48" s="7" t="str">
        <f>"2020041929"</f>
        <v>2020041929</v>
      </c>
      <c r="H48" s="12" t="s">
        <v>226</v>
      </c>
    </row>
    <row r="49" spans="1:8" s="2" customFormat="1" ht="18.95" customHeight="1">
      <c r="A49" s="4">
        <v>47</v>
      </c>
      <c r="B49" s="7" t="s">
        <v>187</v>
      </c>
      <c r="C49" s="7" t="s">
        <v>185</v>
      </c>
      <c r="D49" s="7" t="str">
        <f t="shared" ref="D49" si="5">"安徽濉溪"</f>
        <v>安徽濉溪</v>
      </c>
      <c r="E49" s="10" t="s">
        <v>328</v>
      </c>
      <c r="F49" s="8" t="s">
        <v>163</v>
      </c>
      <c r="G49" s="7" t="s">
        <v>186</v>
      </c>
      <c r="H49" s="13" t="s">
        <v>329</v>
      </c>
    </row>
    <row r="50" spans="1:8" ht="18.95" customHeight="1">
      <c r="A50" s="4">
        <v>48</v>
      </c>
      <c r="B50" s="7" t="str">
        <f>"张静文"</f>
        <v>张静文</v>
      </c>
      <c r="C50" s="7" t="str">
        <f>"女"</f>
        <v>女</v>
      </c>
      <c r="D50" s="7" t="str">
        <f>"安徽宿州"</f>
        <v>安徽宿州</v>
      </c>
      <c r="E50" s="10" t="s">
        <v>330</v>
      </c>
      <c r="F50" s="8" t="s">
        <v>123</v>
      </c>
      <c r="G50" s="7" t="str">
        <f>"2020034024"</f>
        <v>2020034024</v>
      </c>
      <c r="H50" s="13" t="s">
        <v>329</v>
      </c>
    </row>
    <row r="51" spans="1:8" ht="18.95" customHeight="1">
      <c r="A51" s="4">
        <v>49</v>
      </c>
      <c r="B51" s="7" t="str">
        <f>"李莉"</f>
        <v>李莉</v>
      </c>
      <c r="C51" s="7" t="str">
        <f>"女"</f>
        <v>女</v>
      </c>
      <c r="D51" s="7" t="str">
        <f>"安徽宿州"</f>
        <v>安徽宿州</v>
      </c>
      <c r="E51" s="10" t="s">
        <v>331</v>
      </c>
      <c r="F51" s="8" t="s">
        <v>172</v>
      </c>
      <c r="G51" s="7" t="str">
        <f>"2020041013"</f>
        <v>2020041013</v>
      </c>
      <c r="H51" s="13" t="s">
        <v>332</v>
      </c>
    </row>
    <row r="52" spans="1:8" ht="18.95" customHeight="1">
      <c r="A52" s="4">
        <v>50</v>
      </c>
      <c r="B52" s="7" t="str">
        <f>"赵润亭"</f>
        <v>赵润亭</v>
      </c>
      <c r="C52" s="7" t="str">
        <f>"男"</f>
        <v>男</v>
      </c>
      <c r="D52" s="7" t="str">
        <f t="shared" ref="D52:D54" si="6">"安徽濉溪"</f>
        <v>安徽濉溪</v>
      </c>
      <c r="E52" s="10" t="s">
        <v>333</v>
      </c>
      <c r="F52" s="8" t="s">
        <v>118</v>
      </c>
      <c r="G52" s="7" t="str">
        <f>"2020041828"</f>
        <v>2020041828</v>
      </c>
      <c r="H52" s="13" t="s">
        <v>332</v>
      </c>
    </row>
    <row r="53" spans="1:8" ht="18.95" customHeight="1">
      <c r="A53" s="4">
        <v>51</v>
      </c>
      <c r="B53" s="7" t="str">
        <f>"毛仲飞"</f>
        <v>毛仲飞</v>
      </c>
      <c r="C53" s="7" t="str">
        <f>"男"</f>
        <v>男</v>
      </c>
      <c r="D53" s="7" t="str">
        <f>"山东鄄城"</f>
        <v>山东鄄城</v>
      </c>
      <c r="E53" s="10" t="s">
        <v>334</v>
      </c>
      <c r="F53" s="8" t="s">
        <v>127</v>
      </c>
      <c r="G53" s="7" t="str">
        <f>"2020047403"</f>
        <v>2020047403</v>
      </c>
      <c r="H53" s="13" t="s">
        <v>335</v>
      </c>
    </row>
    <row r="54" spans="1:8" ht="18.95" customHeight="1">
      <c r="A54" s="4">
        <v>52</v>
      </c>
      <c r="B54" s="7" t="str">
        <f>"戴燕明"</f>
        <v>戴燕明</v>
      </c>
      <c r="C54" s="7" t="str">
        <f>"男"</f>
        <v>男</v>
      </c>
      <c r="D54" s="7" t="str">
        <f t="shared" si="6"/>
        <v>安徽濉溪</v>
      </c>
      <c r="E54" s="10" t="s">
        <v>336</v>
      </c>
      <c r="F54" s="8" t="s">
        <v>50</v>
      </c>
      <c r="G54" s="7" t="str">
        <f>"2020042421"</f>
        <v>2020042421</v>
      </c>
      <c r="H54" s="13" t="s">
        <v>335</v>
      </c>
    </row>
    <row r="55" spans="1:8" ht="18.95" customHeight="1">
      <c r="A55" s="4">
        <v>53</v>
      </c>
      <c r="B55" s="7" t="str">
        <f>"何伟"</f>
        <v>何伟</v>
      </c>
      <c r="C55" s="7" t="str">
        <f>"男"</f>
        <v>男</v>
      </c>
      <c r="D55" s="7" t="str">
        <f t="shared" ref="D55:D56" si="7">"安徽淮北"</f>
        <v>安徽淮北</v>
      </c>
      <c r="E55" s="10" t="s">
        <v>337</v>
      </c>
      <c r="F55" s="8" t="s">
        <v>140</v>
      </c>
      <c r="G55" s="7" t="str">
        <f>"2020032820"</f>
        <v>2020032820</v>
      </c>
      <c r="H55" s="13" t="s">
        <v>335</v>
      </c>
    </row>
    <row r="56" spans="1:8" ht="18.95" customHeight="1">
      <c r="A56" s="4">
        <v>54</v>
      </c>
      <c r="B56" s="7" t="str">
        <f>"张凤龙"</f>
        <v>张凤龙</v>
      </c>
      <c r="C56" s="7" t="str">
        <f>"女"</f>
        <v>女</v>
      </c>
      <c r="D56" s="7" t="str">
        <f t="shared" si="7"/>
        <v>安徽淮北</v>
      </c>
      <c r="E56" s="10" t="s">
        <v>338</v>
      </c>
      <c r="F56" s="8" t="s">
        <v>18</v>
      </c>
      <c r="G56" s="7" t="str">
        <f>"2020040711"</f>
        <v>2020040711</v>
      </c>
      <c r="H56" s="13" t="s">
        <v>339</v>
      </c>
    </row>
    <row r="57" spans="1:8" ht="18.95" customHeight="1">
      <c r="A57" s="4">
        <v>55</v>
      </c>
      <c r="B57" s="7" t="str">
        <f>"祝文宁"</f>
        <v>祝文宁</v>
      </c>
      <c r="C57" s="7" t="str">
        <f>"女"</f>
        <v>女</v>
      </c>
      <c r="D57" s="7" t="str">
        <f>"安徽太和"</f>
        <v>安徽太和</v>
      </c>
      <c r="E57" s="10" t="s">
        <v>340</v>
      </c>
      <c r="F57" s="8" t="s">
        <v>18</v>
      </c>
      <c r="G57" s="7" t="str">
        <f>"2020040324"</f>
        <v>2020040324</v>
      </c>
      <c r="H57" s="13" t="s">
        <v>341</v>
      </c>
    </row>
    <row r="58" spans="1:8" ht="18.95" customHeight="1">
      <c r="A58" s="4">
        <v>56</v>
      </c>
      <c r="B58" s="7" t="str">
        <f>"陈晓思"</f>
        <v>陈晓思</v>
      </c>
      <c r="C58" s="7" t="str">
        <f>"男"</f>
        <v>男</v>
      </c>
      <c r="D58" s="7" t="str">
        <f>"安徽萧县"</f>
        <v>安徽萧县</v>
      </c>
      <c r="E58" s="10" t="s">
        <v>342</v>
      </c>
      <c r="F58" s="8" t="s">
        <v>80</v>
      </c>
      <c r="G58" s="7" t="str">
        <f>"2020024014"</f>
        <v>2020024014</v>
      </c>
      <c r="H58" s="12" t="s">
        <v>343</v>
      </c>
    </row>
    <row r="59" spans="1:8" ht="18.95" customHeight="1">
      <c r="A59" s="4">
        <v>57</v>
      </c>
      <c r="B59" s="7" t="str">
        <f>"胡海婷"</f>
        <v>胡海婷</v>
      </c>
      <c r="C59" s="7" t="str">
        <f>"女"</f>
        <v>女</v>
      </c>
      <c r="D59" s="7" t="str">
        <f>"安徽濉溪"</f>
        <v>安徽濉溪</v>
      </c>
      <c r="E59" s="10" t="s">
        <v>344</v>
      </c>
      <c r="F59" s="8" t="s">
        <v>108</v>
      </c>
      <c r="G59" s="7" t="str">
        <f>"2020045607"</f>
        <v>2020045607</v>
      </c>
      <c r="H59" s="12" t="s">
        <v>345</v>
      </c>
    </row>
    <row r="60" spans="1:8" ht="18.95" customHeight="1">
      <c r="A60" s="4">
        <v>58</v>
      </c>
      <c r="B60" s="7" t="str">
        <f>"王如"</f>
        <v>王如</v>
      </c>
      <c r="C60" s="7" t="str">
        <f>"男"</f>
        <v>男</v>
      </c>
      <c r="D60" s="7" t="str">
        <f>"安徽蚌埠"</f>
        <v>安徽蚌埠</v>
      </c>
      <c r="E60" s="10" t="s">
        <v>346</v>
      </c>
      <c r="F60" s="8" t="s">
        <v>178</v>
      </c>
      <c r="G60" s="7" t="str">
        <f>"2020032505"</f>
        <v>2020032505</v>
      </c>
      <c r="H60" s="12" t="s">
        <v>347</v>
      </c>
    </row>
    <row r="61" spans="1:8" ht="33.75" customHeight="1">
      <c r="A61" s="4">
        <v>59</v>
      </c>
      <c r="B61" s="7" t="str">
        <f>"赵迪"</f>
        <v>赵迪</v>
      </c>
      <c r="C61" s="7" t="str">
        <f>"女"</f>
        <v>女</v>
      </c>
      <c r="D61" s="7" t="str">
        <f>"江苏东海"</f>
        <v>江苏东海</v>
      </c>
      <c r="E61" s="10" t="s">
        <v>348</v>
      </c>
      <c r="F61" s="8" t="s">
        <v>21</v>
      </c>
      <c r="G61" s="7" t="str">
        <f>"2020044105"</f>
        <v>2020044105</v>
      </c>
      <c r="H61" s="13" t="s">
        <v>349</v>
      </c>
    </row>
    <row r="62" spans="1:8" s="2" customFormat="1" ht="33.75" customHeight="1">
      <c r="A62" s="4">
        <v>60</v>
      </c>
      <c r="B62" s="7" t="s">
        <v>206</v>
      </c>
      <c r="C62" s="7" t="s">
        <v>207</v>
      </c>
      <c r="D62" s="7" t="str">
        <f>"安徽宿州"</f>
        <v>安徽宿州</v>
      </c>
      <c r="E62" s="10" t="s">
        <v>350</v>
      </c>
      <c r="F62" s="8" t="s">
        <v>21</v>
      </c>
      <c r="G62" s="7" t="s">
        <v>205</v>
      </c>
      <c r="H62" s="13" t="s">
        <v>351</v>
      </c>
    </row>
    <row r="63" spans="1:8" ht="33.75" customHeight="1">
      <c r="A63" s="4">
        <v>61</v>
      </c>
      <c r="B63" s="7" t="str">
        <f>"蒋欢迎"</f>
        <v>蒋欢迎</v>
      </c>
      <c r="C63" s="7" t="str">
        <f>"男"</f>
        <v>男</v>
      </c>
      <c r="D63" s="7" t="str">
        <f>"安徽砀山"</f>
        <v>安徽砀山</v>
      </c>
      <c r="E63" s="10" t="s">
        <v>352</v>
      </c>
      <c r="F63" s="8" t="s">
        <v>92</v>
      </c>
      <c r="G63" s="7" t="str">
        <f>"2020045117"</f>
        <v>2020045117</v>
      </c>
      <c r="H63" s="13" t="s">
        <v>351</v>
      </c>
    </row>
    <row r="64" spans="1:8" ht="33.75" customHeight="1">
      <c r="A64" s="4">
        <v>62</v>
      </c>
      <c r="B64" s="7" t="str">
        <f>"张志春"</f>
        <v>张志春</v>
      </c>
      <c r="C64" s="7" t="str">
        <f>"男"</f>
        <v>男</v>
      </c>
      <c r="D64" s="7" t="str">
        <f>"安徽含山"</f>
        <v>安徽含山</v>
      </c>
      <c r="E64" s="10" t="s">
        <v>353</v>
      </c>
      <c r="F64" s="8" t="s">
        <v>92</v>
      </c>
      <c r="G64" s="7" t="str">
        <f>"2020012713"</f>
        <v>2020012713</v>
      </c>
      <c r="H64" s="13" t="s">
        <v>351</v>
      </c>
    </row>
    <row r="65" spans="1:8" ht="18.95" customHeight="1">
      <c r="A65" s="4">
        <v>63</v>
      </c>
      <c r="B65" s="7" t="str">
        <f>"方璨"</f>
        <v>方璨</v>
      </c>
      <c r="C65" s="7" t="str">
        <f>"女"</f>
        <v>女</v>
      </c>
      <c r="D65" s="7" t="str">
        <f>"安徽砀山"</f>
        <v>安徽砀山</v>
      </c>
      <c r="E65" s="10" t="s">
        <v>354</v>
      </c>
      <c r="F65" s="8" t="s">
        <v>138</v>
      </c>
      <c r="G65" s="7" t="str">
        <f>"2020024009"</f>
        <v>2020024009</v>
      </c>
      <c r="H65" s="13" t="s">
        <v>355</v>
      </c>
    </row>
    <row r="66" spans="1:8" s="2" customFormat="1" ht="18.95" customHeight="1">
      <c r="A66" s="4">
        <v>64</v>
      </c>
      <c r="B66" s="7" t="s">
        <v>189</v>
      </c>
      <c r="C66" s="7" t="s">
        <v>185</v>
      </c>
      <c r="D66" s="7" t="s">
        <v>356</v>
      </c>
      <c r="E66" s="10" t="s">
        <v>357</v>
      </c>
      <c r="F66" s="8" t="s">
        <v>138</v>
      </c>
      <c r="G66" s="7" t="s">
        <v>188</v>
      </c>
      <c r="H66" s="13" t="s">
        <v>358</v>
      </c>
    </row>
    <row r="67" spans="1:8" ht="18.95" customHeight="1">
      <c r="A67" s="4">
        <v>65</v>
      </c>
      <c r="B67" s="7" t="str">
        <f>"张锋"</f>
        <v>张锋</v>
      </c>
      <c r="C67" s="7" t="str">
        <f t="shared" ref="C67:C72" si="8">"男"</f>
        <v>男</v>
      </c>
      <c r="D67" s="7" t="str">
        <f>"安徽砀山"</f>
        <v>安徽砀山</v>
      </c>
      <c r="E67" s="10" t="s">
        <v>359</v>
      </c>
      <c r="F67" s="8" t="s">
        <v>11</v>
      </c>
      <c r="G67" s="7" t="str">
        <f>"2020021624"</f>
        <v>2020021624</v>
      </c>
      <c r="H67" s="12" t="s">
        <v>360</v>
      </c>
    </row>
    <row r="68" spans="1:8" ht="18.95" customHeight="1">
      <c r="A68" s="4">
        <v>66</v>
      </c>
      <c r="B68" s="7" t="str">
        <f>"刘赣"</f>
        <v>刘赣</v>
      </c>
      <c r="C68" s="7" t="str">
        <f t="shared" si="8"/>
        <v>男</v>
      </c>
      <c r="D68" s="7" t="str">
        <f>"河南永城"</f>
        <v>河南永城</v>
      </c>
      <c r="E68" s="10" t="s">
        <v>361</v>
      </c>
      <c r="F68" s="8" t="s">
        <v>44</v>
      </c>
      <c r="G68" s="7" t="str">
        <f>"2020033419"</f>
        <v>2020033419</v>
      </c>
      <c r="H68" s="13" t="s">
        <v>362</v>
      </c>
    </row>
    <row r="69" spans="1:8" ht="18.95" customHeight="1">
      <c r="A69" s="4">
        <v>67</v>
      </c>
      <c r="B69" s="7" t="str">
        <f>"张鹏"</f>
        <v>张鹏</v>
      </c>
      <c r="C69" s="7" t="str">
        <f t="shared" si="8"/>
        <v>男</v>
      </c>
      <c r="D69" s="7" t="str">
        <f t="shared" ref="D69" si="9">"安徽淮北"</f>
        <v>安徽淮北</v>
      </c>
      <c r="E69" s="10" t="s">
        <v>363</v>
      </c>
      <c r="F69" s="8" t="s">
        <v>44</v>
      </c>
      <c r="G69" s="7" t="str">
        <f>"2020046804"</f>
        <v>2020046804</v>
      </c>
      <c r="H69" s="13" t="s">
        <v>362</v>
      </c>
    </row>
    <row r="70" spans="1:8" ht="18.95" customHeight="1">
      <c r="A70" s="4">
        <v>68</v>
      </c>
      <c r="B70" s="7" t="str">
        <f>"汪涛"</f>
        <v>汪涛</v>
      </c>
      <c r="C70" s="7" t="str">
        <f t="shared" si="8"/>
        <v>男</v>
      </c>
      <c r="D70" s="7" t="str">
        <f>"安徽南陵"</f>
        <v>安徽南陵</v>
      </c>
      <c r="E70" s="10" t="s">
        <v>364</v>
      </c>
      <c r="F70" s="8" t="s">
        <v>87</v>
      </c>
      <c r="G70" s="7" t="str">
        <f>"2020043830"</f>
        <v>2020043830</v>
      </c>
      <c r="H70" s="13" t="s">
        <v>362</v>
      </c>
    </row>
    <row r="71" spans="1:8" ht="18.95" customHeight="1">
      <c r="A71" s="4">
        <v>69</v>
      </c>
      <c r="B71" s="7" t="str">
        <f>"朱飞扬"</f>
        <v>朱飞扬</v>
      </c>
      <c r="C71" s="7" t="str">
        <f t="shared" si="8"/>
        <v>男</v>
      </c>
      <c r="D71" s="7" t="str">
        <f>"安徽萧县"</f>
        <v>安徽萧县</v>
      </c>
      <c r="E71" s="10" t="s">
        <v>365</v>
      </c>
      <c r="F71" s="8" t="s">
        <v>87</v>
      </c>
      <c r="G71" s="7" t="str">
        <f>"2020031329"</f>
        <v>2020031329</v>
      </c>
      <c r="H71" s="13" t="s">
        <v>362</v>
      </c>
    </row>
    <row r="72" spans="1:8" ht="18.95" customHeight="1">
      <c r="A72" s="4">
        <v>70</v>
      </c>
      <c r="B72" s="7" t="str">
        <f>"邬思雨"</f>
        <v>邬思雨</v>
      </c>
      <c r="C72" s="7" t="str">
        <f t="shared" si="8"/>
        <v>男</v>
      </c>
      <c r="D72" s="7" t="str">
        <f>"安徽濉溪"</f>
        <v>安徽濉溪</v>
      </c>
      <c r="E72" s="10" t="s">
        <v>366</v>
      </c>
      <c r="F72" s="8" t="s">
        <v>87</v>
      </c>
      <c r="G72" s="7" t="str">
        <f>"2020012806"</f>
        <v>2020012806</v>
      </c>
      <c r="H72" s="13" t="s">
        <v>362</v>
      </c>
    </row>
    <row r="73" spans="1:8" s="2" customFormat="1" ht="18.95" customHeight="1">
      <c r="A73" s="4">
        <v>71</v>
      </c>
      <c r="B73" s="7" t="s">
        <v>191</v>
      </c>
      <c r="C73" s="7" t="s">
        <v>185</v>
      </c>
      <c r="D73" s="7" t="str">
        <f>"安徽宿州"</f>
        <v>安徽宿州</v>
      </c>
      <c r="E73" s="10" t="s">
        <v>367</v>
      </c>
      <c r="F73" s="8" t="s">
        <v>8</v>
      </c>
      <c r="G73" s="7" t="s">
        <v>190</v>
      </c>
      <c r="H73" s="13" t="s">
        <v>362</v>
      </c>
    </row>
    <row r="74" spans="1:8" ht="18.95" customHeight="1">
      <c r="A74" s="4">
        <v>72</v>
      </c>
      <c r="B74" s="7" t="str">
        <f>"朱予晴"</f>
        <v>朱予晴</v>
      </c>
      <c r="C74" s="7" t="str">
        <f>"女"</f>
        <v>女</v>
      </c>
      <c r="D74" s="7" t="str">
        <f>"安徽濉溪"</f>
        <v>安徽濉溪</v>
      </c>
      <c r="E74" s="10" t="s">
        <v>368</v>
      </c>
      <c r="F74" s="8" t="s">
        <v>54</v>
      </c>
      <c r="G74" s="7" t="str">
        <f>"2020031410"</f>
        <v>2020031410</v>
      </c>
      <c r="H74" s="13" t="s">
        <v>362</v>
      </c>
    </row>
    <row r="75" spans="1:8" ht="18.95" customHeight="1">
      <c r="A75" s="4">
        <v>73</v>
      </c>
      <c r="B75" s="7" t="str">
        <f>"潘莹"</f>
        <v>潘莹</v>
      </c>
      <c r="C75" s="7" t="str">
        <f>"女"</f>
        <v>女</v>
      </c>
      <c r="D75" s="7" t="str">
        <f t="shared" ref="D75" si="10">"安徽淮北"</f>
        <v>安徽淮北</v>
      </c>
      <c r="E75" s="10" t="s">
        <v>369</v>
      </c>
      <c r="F75" s="8" t="s">
        <v>54</v>
      </c>
      <c r="G75" s="7" t="str">
        <f>"2020023518"</f>
        <v>2020023518</v>
      </c>
      <c r="H75" s="13" t="s">
        <v>362</v>
      </c>
    </row>
    <row r="76" spans="1:8" ht="18.95" customHeight="1">
      <c r="A76" s="4">
        <v>74</v>
      </c>
      <c r="B76" s="7" t="str">
        <f>"储继龙"</f>
        <v>储继龙</v>
      </c>
      <c r="C76" s="7" t="str">
        <f>"男"</f>
        <v>男</v>
      </c>
      <c r="D76" s="7" t="str">
        <f>"安徽霍邱"</f>
        <v>安徽霍邱</v>
      </c>
      <c r="E76" s="10" t="s">
        <v>370</v>
      </c>
      <c r="F76" s="8" t="s">
        <v>10</v>
      </c>
      <c r="G76" s="7" t="str">
        <f>"2020020406"</f>
        <v>2020020406</v>
      </c>
      <c r="H76" s="13" t="s">
        <v>362</v>
      </c>
    </row>
    <row r="77" spans="1:8" ht="18.95" customHeight="1">
      <c r="A77" s="4">
        <v>75</v>
      </c>
      <c r="B77" s="7" t="str">
        <f>"纪开心"</f>
        <v>纪开心</v>
      </c>
      <c r="C77" s="7" t="str">
        <f>"男"</f>
        <v>男</v>
      </c>
      <c r="D77" s="7" t="str">
        <f>"河南商丘"</f>
        <v>河南商丘</v>
      </c>
      <c r="E77" s="10" t="s">
        <v>371</v>
      </c>
      <c r="F77" s="8" t="s">
        <v>10</v>
      </c>
      <c r="G77" s="7" t="str">
        <f>"2020020607"</f>
        <v>2020020607</v>
      </c>
      <c r="H77" s="13" t="s">
        <v>362</v>
      </c>
    </row>
    <row r="78" spans="1:8" ht="18.95" customHeight="1">
      <c r="A78" s="4">
        <v>76</v>
      </c>
      <c r="B78" s="7" t="str">
        <f>"蔡根"</f>
        <v>蔡根</v>
      </c>
      <c r="C78" s="7" t="str">
        <f>"男"</f>
        <v>男</v>
      </c>
      <c r="D78" s="7" t="str">
        <f>"安徽宿州"</f>
        <v>安徽宿州</v>
      </c>
      <c r="E78" s="10" t="s">
        <v>372</v>
      </c>
      <c r="F78" s="8" t="s">
        <v>10</v>
      </c>
      <c r="G78" s="7" t="str">
        <f>"2020041803"</f>
        <v>2020041803</v>
      </c>
      <c r="H78" s="13" t="s">
        <v>362</v>
      </c>
    </row>
    <row r="79" spans="1:8" s="2" customFormat="1" ht="18.95" customHeight="1">
      <c r="A79" s="4">
        <v>77</v>
      </c>
      <c r="B79" s="7" t="s">
        <v>193</v>
      </c>
      <c r="C79" s="7" t="s">
        <v>185</v>
      </c>
      <c r="D79" s="7" t="str">
        <f t="shared" ref="D79:D81" si="11">"安徽淮北"</f>
        <v>安徽淮北</v>
      </c>
      <c r="E79" s="10" t="s">
        <v>373</v>
      </c>
      <c r="F79" s="8" t="s">
        <v>10</v>
      </c>
      <c r="G79" s="7" t="s">
        <v>192</v>
      </c>
      <c r="H79" s="13" t="s">
        <v>374</v>
      </c>
    </row>
    <row r="80" spans="1:8" ht="18.95" customHeight="1">
      <c r="A80" s="4">
        <v>78</v>
      </c>
      <c r="B80" s="7" t="str">
        <f>"谢云鹤"</f>
        <v>谢云鹤</v>
      </c>
      <c r="C80" s="7" t="str">
        <f>"男"</f>
        <v>男</v>
      </c>
      <c r="D80" s="7" t="str">
        <f t="shared" si="11"/>
        <v>安徽淮北</v>
      </c>
      <c r="E80" s="10" t="s">
        <v>375</v>
      </c>
      <c r="F80" s="8" t="s">
        <v>22</v>
      </c>
      <c r="G80" s="7" t="str">
        <f>"2020031811"</f>
        <v>2020031811</v>
      </c>
      <c r="H80" s="13" t="s">
        <v>374</v>
      </c>
    </row>
    <row r="81" spans="1:8" ht="18.95" customHeight="1">
      <c r="A81" s="4">
        <v>79</v>
      </c>
      <c r="B81" s="7" t="str">
        <f>"张梦"</f>
        <v>张梦</v>
      </c>
      <c r="C81" s="7" t="str">
        <f>"女"</f>
        <v>女</v>
      </c>
      <c r="D81" s="7" t="str">
        <f t="shared" si="11"/>
        <v>安徽淮北</v>
      </c>
      <c r="E81" s="10" t="s">
        <v>376</v>
      </c>
      <c r="F81" s="8" t="s">
        <v>22</v>
      </c>
      <c r="G81" s="7" t="str">
        <f>"2020041719"</f>
        <v>2020041719</v>
      </c>
      <c r="H81" s="13" t="s">
        <v>374</v>
      </c>
    </row>
    <row r="82" spans="1:8" ht="18.95" customHeight="1">
      <c r="A82" s="4">
        <v>80</v>
      </c>
      <c r="B82" s="7" t="str">
        <f>"王海洋"</f>
        <v>王海洋</v>
      </c>
      <c r="C82" s="7" t="str">
        <f>"男"</f>
        <v>男</v>
      </c>
      <c r="D82" s="7" t="str">
        <f>"安徽凤阳"</f>
        <v>安徽凤阳</v>
      </c>
      <c r="E82" s="10" t="s">
        <v>377</v>
      </c>
      <c r="F82" s="8" t="s">
        <v>150</v>
      </c>
      <c r="G82" s="7" t="str">
        <f>"2020042304"</f>
        <v>2020042304</v>
      </c>
      <c r="H82" s="12" t="s">
        <v>227</v>
      </c>
    </row>
    <row r="83" spans="1:8" ht="18.95" customHeight="1">
      <c r="A83" s="4">
        <v>81</v>
      </c>
      <c r="B83" s="7" t="str">
        <f>"徐浩"</f>
        <v>徐浩</v>
      </c>
      <c r="C83" s="7" t="str">
        <f>"男"</f>
        <v>男</v>
      </c>
      <c r="D83" s="7" t="str">
        <f>"安徽太和"</f>
        <v>安徽太和</v>
      </c>
      <c r="E83" s="10" t="s">
        <v>378</v>
      </c>
      <c r="F83" s="8" t="s">
        <v>70</v>
      </c>
      <c r="G83" s="7" t="str">
        <f>"2020040415"</f>
        <v>2020040415</v>
      </c>
      <c r="H83" s="12" t="s">
        <v>228</v>
      </c>
    </row>
    <row r="84" spans="1:8" ht="18.95" customHeight="1">
      <c r="A84" s="4">
        <v>82</v>
      </c>
      <c r="B84" s="7" t="str">
        <f>"顾成威"</f>
        <v>顾成威</v>
      </c>
      <c r="C84" s="7" t="str">
        <f>"男"</f>
        <v>男</v>
      </c>
      <c r="D84" s="7" t="str">
        <f>"江苏海安"</f>
        <v>江苏海安</v>
      </c>
      <c r="E84" s="10" t="s">
        <v>379</v>
      </c>
      <c r="F84" s="8" t="s">
        <v>6</v>
      </c>
      <c r="G84" s="7" t="str">
        <f>"2020023218"</f>
        <v>2020023218</v>
      </c>
      <c r="H84" s="12" t="s">
        <v>229</v>
      </c>
    </row>
    <row r="85" spans="1:8" ht="18.95" customHeight="1">
      <c r="A85" s="4">
        <v>83</v>
      </c>
      <c r="B85" s="7" t="str">
        <f>"张大卫"</f>
        <v>张大卫</v>
      </c>
      <c r="C85" s="7" t="str">
        <f>"男"</f>
        <v>男</v>
      </c>
      <c r="D85" s="7" t="str">
        <f>"安徽萧县"</f>
        <v>安徽萧县</v>
      </c>
      <c r="E85" s="10" t="s">
        <v>376</v>
      </c>
      <c r="F85" s="8" t="s">
        <v>37</v>
      </c>
      <c r="G85" s="7" t="str">
        <f>"2020024625"</f>
        <v>2020024625</v>
      </c>
      <c r="H85" s="12" t="s">
        <v>230</v>
      </c>
    </row>
    <row r="86" spans="1:8" ht="18.95" customHeight="1">
      <c r="A86" s="4">
        <v>84</v>
      </c>
      <c r="B86" s="7" t="str">
        <f>"耿丽莎"</f>
        <v>耿丽莎</v>
      </c>
      <c r="C86" s="7" t="str">
        <f>"女"</f>
        <v>女</v>
      </c>
      <c r="D86" s="7" t="str">
        <f>"安徽淮北"</f>
        <v>安徽淮北</v>
      </c>
      <c r="E86" s="10" t="s">
        <v>380</v>
      </c>
      <c r="F86" s="8" t="s">
        <v>93</v>
      </c>
      <c r="G86" s="7" t="str">
        <f>"2020033228"</f>
        <v>2020033228</v>
      </c>
      <c r="H86" s="12" t="s">
        <v>231</v>
      </c>
    </row>
    <row r="87" spans="1:8" ht="18.95" customHeight="1">
      <c r="A87" s="4">
        <v>85</v>
      </c>
      <c r="B87" s="7" t="str">
        <f>"何健"</f>
        <v>何健</v>
      </c>
      <c r="C87" s="7" t="str">
        <f>"男"</f>
        <v>男</v>
      </c>
      <c r="D87" s="7" t="str">
        <f>"安徽铜陵"</f>
        <v>安徽铜陵</v>
      </c>
      <c r="E87" s="10" t="s">
        <v>381</v>
      </c>
      <c r="F87" s="8" t="s">
        <v>13</v>
      </c>
      <c r="G87" s="7" t="str">
        <f>"2020023919"</f>
        <v>2020023919</v>
      </c>
      <c r="H87" s="13" t="s">
        <v>232</v>
      </c>
    </row>
    <row r="88" spans="1:8" ht="18.95" customHeight="1">
      <c r="A88" s="4">
        <v>86</v>
      </c>
      <c r="B88" s="7" t="str">
        <f>"闫浩瀚"</f>
        <v>闫浩瀚</v>
      </c>
      <c r="C88" s="7" t="str">
        <f>"男"</f>
        <v>男</v>
      </c>
      <c r="D88" s="7" t="str">
        <f>"安徽亳州"</f>
        <v>安徽亳州</v>
      </c>
      <c r="E88" s="10" t="s">
        <v>382</v>
      </c>
      <c r="F88" s="8" t="s">
        <v>67</v>
      </c>
      <c r="G88" s="7" t="str">
        <f>"2020010526"</f>
        <v>2020010526</v>
      </c>
      <c r="H88" s="13" t="s">
        <v>232</v>
      </c>
    </row>
    <row r="89" spans="1:8" ht="18.95" customHeight="1">
      <c r="A89" s="4">
        <v>87</v>
      </c>
      <c r="B89" s="7" t="str">
        <f>"王安琪"</f>
        <v>王安琪</v>
      </c>
      <c r="C89" s="7" t="str">
        <f>"女"</f>
        <v>女</v>
      </c>
      <c r="D89" s="7" t="str">
        <f>"安徽淮北"</f>
        <v>安徽淮北</v>
      </c>
      <c r="E89" s="10" t="s">
        <v>383</v>
      </c>
      <c r="F89" s="8" t="s">
        <v>47</v>
      </c>
      <c r="G89" s="7" t="str">
        <f>"2020044407"</f>
        <v>2020044407</v>
      </c>
      <c r="H89" s="13" t="s">
        <v>384</v>
      </c>
    </row>
    <row r="90" spans="1:8" ht="18.95" customHeight="1">
      <c r="A90" s="4">
        <v>88</v>
      </c>
      <c r="B90" s="7" t="str">
        <f>"郝校露"</f>
        <v>郝校露</v>
      </c>
      <c r="C90" s="7" t="str">
        <f>"女"</f>
        <v>女</v>
      </c>
      <c r="D90" s="7" t="str">
        <f>"安徽临泉"</f>
        <v>安徽临泉</v>
      </c>
      <c r="E90" s="10" t="s">
        <v>385</v>
      </c>
      <c r="F90" s="8" t="s">
        <v>47</v>
      </c>
      <c r="G90" s="7" t="str">
        <f>"2020021923"</f>
        <v>2020021923</v>
      </c>
      <c r="H90" s="13" t="s">
        <v>384</v>
      </c>
    </row>
    <row r="91" spans="1:8" ht="18.95" customHeight="1">
      <c r="A91" s="4">
        <v>89</v>
      </c>
      <c r="B91" s="7" t="str">
        <f>"赵雨萱"</f>
        <v>赵雨萱</v>
      </c>
      <c r="C91" s="7" t="str">
        <f>"女"</f>
        <v>女</v>
      </c>
      <c r="D91" s="7" t="str">
        <f>"安徽淮北"</f>
        <v>安徽淮北</v>
      </c>
      <c r="E91" s="10" t="s">
        <v>386</v>
      </c>
      <c r="F91" s="8" t="s">
        <v>125</v>
      </c>
      <c r="G91" s="7" t="str">
        <f>"2020024323"</f>
        <v>2020024323</v>
      </c>
      <c r="H91" s="13" t="s">
        <v>384</v>
      </c>
    </row>
    <row r="92" spans="1:8" ht="18.95" customHeight="1">
      <c r="A92" s="4">
        <v>90</v>
      </c>
      <c r="B92" s="7" t="str">
        <f>"杨晓"</f>
        <v>杨晓</v>
      </c>
      <c r="C92" s="7" t="str">
        <f>"女"</f>
        <v>女</v>
      </c>
      <c r="D92" s="7" t="str">
        <f>"安徽濉溪"</f>
        <v>安徽濉溪</v>
      </c>
      <c r="E92" s="10" t="s">
        <v>387</v>
      </c>
      <c r="F92" s="8" t="s">
        <v>4</v>
      </c>
      <c r="G92" s="7" t="str">
        <f>"2020043414"</f>
        <v>2020043414</v>
      </c>
      <c r="H92" s="13" t="s">
        <v>388</v>
      </c>
    </row>
    <row r="93" spans="1:8" ht="18.95" customHeight="1">
      <c r="A93" s="4">
        <v>91</v>
      </c>
      <c r="B93" s="7" t="str">
        <f>"杨守强"</f>
        <v>杨守强</v>
      </c>
      <c r="C93" s="7" t="str">
        <f>"男"</f>
        <v>男</v>
      </c>
      <c r="D93" s="7" t="str">
        <f>"安徽临泉"</f>
        <v>安徽临泉</v>
      </c>
      <c r="E93" s="10" t="s">
        <v>389</v>
      </c>
      <c r="F93" s="8" t="s">
        <v>72</v>
      </c>
      <c r="G93" s="7" t="str">
        <f>"2020010509"</f>
        <v>2020010509</v>
      </c>
      <c r="H93" s="13" t="s">
        <v>388</v>
      </c>
    </row>
    <row r="94" spans="1:8" ht="18.95" customHeight="1">
      <c r="A94" s="4">
        <v>92</v>
      </c>
      <c r="B94" s="7" t="str">
        <f>"李丽"</f>
        <v>李丽</v>
      </c>
      <c r="C94" s="7" t="str">
        <f>"女"</f>
        <v>女</v>
      </c>
      <c r="D94" s="7" t="str">
        <f>"安徽宿州"</f>
        <v>安徽宿州</v>
      </c>
      <c r="E94" s="10" t="s">
        <v>390</v>
      </c>
      <c r="F94" s="8" t="s">
        <v>72</v>
      </c>
      <c r="G94" s="7" t="str">
        <f>"2020041110"</f>
        <v>2020041110</v>
      </c>
      <c r="H94" s="13" t="s">
        <v>388</v>
      </c>
    </row>
    <row r="95" spans="1:8" ht="18.95" customHeight="1">
      <c r="A95" s="4">
        <v>93</v>
      </c>
      <c r="B95" s="7" t="str">
        <f>"王文娟"</f>
        <v>王文娟</v>
      </c>
      <c r="C95" s="7" t="str">
        <f>"女"</f>
        <v>女</v>
      </c>
      <c r="D95" s="7" t="str">
        <f>"安徽淮北"</f>
        <v>安徽淮北</v>
      </c>
      <c r="E95" s="10" t="s">
        <v>391</v>
      </c>
      <c r="F95" s="8" t="s">
        <v>34</v>
      </c>
      <c r="G95" s="7" t="str">
        <f>"2020033718"</f>
        <v>2020033718</v>
      </c>
      <c r="H95" s="13" t="s">
        <v>392</v>
      </c>
    </row>
    <row r="96" spans="1:8" ht="18.95" customHeight="1">
      <c r="A96" s="4">
        <v>94</v>
      </c>
      <c r="B96" s="7" t="str">
        <f>"杨锦"</f>
        <v>杨锦</v>
      </c>
      <c r="C96" s="7" t="str">
        <f>"女"</f>
        <v>女</v>
      </c>
      <c r="D96" s="7" t="str">
        <f>"安徽濉溪"</f>
        <v>安徽濉溪</v>
      </c>
      <c r="E96" s="10" t="s">
        <v>393</v>
      </c>
      <c r="F96" s="8" t="s">
        <v>34</v>
      </c>
      <c r="G96" s="7" t="str">
        <f>"2020012611"</f>
        <v>2020012611</v>
      </c>
      <c r="H96" s="13" t="s">
        <v>324</v>
      </c>
    </row>
    <row r="97" spans="1:8" ht="18.95" customHeight="1">
      <c r="A97" s="4">
        <v>95</v>
      </c>
      <c r="B97" s="7" t="str">
        <f>"李若宁"</f>
        <v>李若宁</v>
      </c>
      <c r="C97" s="7" t="str">
        <f>"女"</f>
        <v>女</v>
      </c>
      <c r="D97" s="7" t="str">
        <f>"安徽濉溪"</f>
        <v>安徽濉溪</v>
      </c>
      <c r="E97" s="10" t="s">
        <v>394</v>
      </c>
      <c r="F97" s="8" t="s">
        <v>34</v>
      </c>
      <c r="G97" s="7" t="str">
        <f>"2020033317"</f>
        <v>2020033317</v>
      </c>
      <c r="H97" s="13" t="s">
        <v>325</v>
      </c>
    </row>
    <row r="98" spans="1:8" ht="18.95" customHeight="1">
      <c r="A98" s="4">
        <v>96</v>
      </c>
      <c r="B98" s="7" t="str">
        <f>"郭宋展"</f>
        <v>郭宋展</v>
      </c>
      <c r="C98" s="7" t="str">
        <f>"男"</f>
        <v>男</v>
      </c>
      <c r="D98" s="7" t="str">
        <f>"四川丹棱"</f>
        <v>四川丹棱</v>
      </c>
      <c r="E98" s="10" t="s">
        <v>372</v>
      </c>
      <c r="F98" s="8" t="s">
        <v>43</v>
      </c>
      <c r="G98" s="7" t="str">
        <f>"2020021017"</f>
        <v>2020021017</v>
      </c>
      <c r="H98" s="13" t="s">
        <v>395</v>
      </c>
    </row>
    <row r="99" spans="1:8" ht="18.95" customHeight="1">
      <c r="A99" s="4">
        <v>97</v>
      </c>
      <c r="B99" s="7" t="str">
        <f>"袁月明"</f>
        <v>袁月明</v>
      </c>
      <c r="C99" s="7" t="str">
        <f>"女"</f>
        <v>女</v>
      </c>
      <c r="D99" s="7" t="str">
        <f>"山东微山"</f>
        <v>山东微山</v>
      </c>
      <c r="E99" s="10" t="s">
        <v>370</v>
      </c>
      <c r="F99" s="8" t="s">
        <v>43</v>
      </c>
      <c r="G99" s="7" t="str">
        <f>"2020047515"</f>
        <v>2020047515</v>
      </c>
      <c r="H99" s="13" t="s">
        <v>395</v>
      </c>
    </row>
    <row r="100" spans="1:8" ht="18.95" customHeight="1">
      <c r="A100" s="4">
        <v>98</v>
      </c>
      <c r="B100" s="7" t="str">
        <f>"申璐"</f>
        <v>申璐</v>
      </c>
      <c r="C100" s="7" t="str">
        <f>"女"</f>
        <v>女</v>
      </c>
      <c r="D100" s="7" t="str">
        <f>"安徽淮北"</f>
        <v>安徽淮北</v>
      </c>
      <c r="E100" s="10" t="s">
        <v>396</v>
      </c>
      <c r="F100" s="8" t="s">
        <v>142</v>
      </c>
      <c r="G100" s="7" t="str">
        <f>"2020041515"</f>
        <v>2020041515</v>
      </c>
      <c r="H100" s="12" t="s">
        <v>233</v>
      </c>
    </row>
    <row r="101" spans="1:8" ht="18.75" customHeight="1">
      <c r="A101" s="4">
        <v>99</v>
      </c>
      <c r="B101" s="7" t="str">
        <f>"夏莉"</f>
        <v>夏莉</v>
      </c>
      <c r="C101" s="7" t="str">
        <f>"女"</f>
        <v>女</v>
      </c>
      <c r="D101" s="7" t="str">
        <f>"安徽宣城"</f>
        <v>安徽宣城</v>
      </c>
      <c r="E101" s="10" t="s">
        <v>397</v>
      </c>
      <c r="F101" s="8" t="s">
        <v>165</v>
      </c>
      <c r="G101" s="7" t="str">
        <f>"2020013817"</f>
        <v>2020013817</v>
      </c>
      <c r="H101" s="12" t="s">
        <v>234</v>
      </c>
    </row>
    <row r="102" spans="1:8" ht="18.95" customHeight="1">
      <c r="A102" s="4">
        <v>100</v>
      </c>
      <c r="B102" s="7" t="str">
        <f>"陈小龙"</f>
        <v>陈小龙</v>
      </c>
      <c r="C102" s="7" t="str">
        <f>"男"</f>
        <v>男</v>
      </c>
      <c r="D102" s="7" t="str">
        <f>"安徽寿县"</f>
        <v>安徽寿县</v>
      </c>
      <c r="E102" s="10" t="s">
        <v>398</v>
      </c>
      <c r="F102" s="8" t="s">
        <v>56</v>
      </c>
      <c r="G102" s="7" t="str">
        <f>"2020040621"</f>
        <v>2020040621</v>
      </c>
      <c r="H102" s="13" t="s">
        <v>399</v>
      </c>
    </row>
    <row r="103" spans="1:8" ht="18.95" customHeight="1">
      <c r="A103" s="4">
        <v>101</v>
      </c>
      <c r="B103" s="7" t="str">
        <f>"王梦娇"</f>
        <v>王梦娇</v>
      </c>
      <c r="C103" s="7" t="str">
        <f>"女"</f>
        <v>女</v>
      </c>
      <c r="D103" s="7" t="str">
        <f>"安徽淮北"</f>
        <v>安徽淮北</v>
      </c>
      <c r="E103" s="10" t="s">
        <v>363</v>
      </c>
      <c r="F103" s="8" t="s">
        <v>56</v>
      </c>
      <c r="G103" s="7" t="str">
        <f>"2020040328"</f>
        <v>2020040328</v>
      </c>
      <c r="H103" s="13" t="s">
        <v>399</v>
      </c>
    </row>
    <row r="104" spans="1:8" ht="18.95" customHeight="1">
      <c r="A104" s="4">
        <v>102</v>
      </c>
      <c r="B104" s="7" t="str">
        <f>"赵玉胜"</f>
        <v>赵玉胜</v>
      </c>
      <c r="C104" s="7" t="str">
        <f>"男"</f>
        <v>男</v>
      </c>
      <c r="D104" s="7" t="str">
        <f>"安徽铜陵"</f>
        <v>安徽铜陵</v>
      </c>
      <c r="E104" s="10" t="s">
        <v>400</v>
      </c>
      <c r="F104" s="8" t="s">
        <v>17</v>
      </c>
      <c r="G104" s="7" t="str">
        <f>"2020044226"</f>
        <v>2020044226</v>
      </c>
      <c r="H104" s="13" t="s">
        <v>399</v>
      </c>
    </row>
    <row r="105" spans="1:8" ht="18.95" customHeight="1">
      <c r="A105" s="4">
        <v>103</v>
      </c>
      <c r="B105" s="7" t="str">
        <f>"程亚蒙"</f>
        <v>程亚蒙</v>
      </c>
      <c r="C105" s="7" t="str">
        <f>"女"</f>
        <v>女</v>
      </c>
      <c r="D105" s="7" t="str">
        <f>"安徽濉溪"</f>
        <v>安徽濉溪</v>
      </c>
      <c r="E105" s="10" t="s">
        <v>401</v>
      </c>
      <c r="F105" s="8" t="s">
        <v>17</v>
      </c>
      <c r="G105" s="7" t="str">
        <f>"2020010517"</f>
        <v>2020010517</v>
      </c>
      <c r="H105" s="13" t="s">
        <v>399</v>
      </c>
    </row>
    <row r="106" spans="1:8" ht="33" customHeight="1">
      <c r="A106" s="4">
        <v>104</v>
      </c>
      <c r="B106" s="7" t="str">
        <f>"王杨"</f>
        <v>王杨</v>
      </c>
      <c r="C106" s="7" t="str">
        <f>"男"</f>
        <v>男</v>
      </c>
      <c r="D106" s="7" t="str">
        <f>"安徽和县"</f>
        <v>安徽和县</v>
      </c>
      <c r="E106" s="10" t="s">
        <v>402</v>
      </c>
      <c r="F106" s="8" t="s">
        <v>133</v>
      </c>
      <c r="G106" s="7" t="str">
        <f>"2020013701"</f>
        <v>2020013701</v>
      </c>
      <c r="H106" s="13" t="s">
        <v>235</v>
      </c>
    </row>
    <row r="107" spans="1:8" ht="32.25" customHeight="1">
      <c r="A107" s="4">
        <v>105</v>
      </c>
      <c r="B107" s="7" t="str">
        <f>"毕嘉文"</f>
        <v>毕嘉文</v>
      </c>
      <c r="C107" s="7" t="str">
        <f>"女"</f>
        <v>女</v>
      </c>
      <c r="D107" s="7" t="str">
        <f>"安徽南陵"</f>
        <v>安徽南陵</v>
      </c>
      <c r="E107" s="10" t="s">
        <v>403</v>
      </c>
      <c r="F107" s="8" t="s">
        <v>155</v>
      </c>
      <c r="G107" s="7" t="str">
        <f>"2020031324"</f>
        <v>2020031324</v>
      </c>
      <c r="H107" s="13" t="s">
        <v>235</v>
      </c>
    </row>
    <row r="108" spans="1:8" ht="18.95" customHeight="1">
      <c r="A108" s="4">
        <v>106</v>
      </c>
      <c r="B108" s="7" t="str">
        <f>"陈梦霞"</f>
        <v>陈梦霞</v>
      </c>
      <c r="C108" s="7" t="str">
        <f>"女"</f>
        <v>女</v>
      </c>
      <c r="D108" s="7" t="str">
        <f>"安徽宿州"</f>
        <v>安徽宿州</v>
      </c>
      <c r="E108" s="10" t="s">
        <v>404</v>
      </c>
      <c r="F108" s="8" t="s">
        <v>104</v>
      </c>
      <c r="G108" s="7" t="str">
        <f>"2020046921"</f>
        <v>2020046921</v>
      </c>
      <c r="H108" s="12" t="s">
        <v>236</v>
      </c>
    </row>
    <row r="109" spans="1:8" ht="18.95" customHeight="1">
      <c r="A109" s="4">
        <v>107</v>
      </c>
      <c r="B109" s="7" t="str">
        <f>"刘桂瑜"</f>
        <v>刘桂瑜</v>
      </c>
      <c r="C109" s="7" t="str">
        <f>"男"</f>
        <v>男</v>
      </c>
      <c r="D109" s="7" t="str">
        <f>"安徽砀山"</f>
        <v>安徽砀山</v>
      </c>
      <c r="E109" s="10" t="s">
        <v>400</v>
      </c>
      <c r="F109" s="8" t="s">
        <v>114</v>
      </c>
      <c r="G109" s="7" t="str">
        <f>"2020021901"</f>
        <v>2020021901</v>
      </c>
      <c r="H109" s="12" t="s">
        <v>237</v>
      </c>
    </row>
    <row r="110" spans="1:8" ht="18.95" customHeight="1">
      <c r="A110" s="4">
        <v>108</v>
      </c>
      <c r="B110" s="7" t="str">
        <f>"金丽苇"</f>
        <v>金丽苇</v>
      </c>
      <c r="C110" s="7" t="str">
        <f>"女"</f>
        <v>女</v>
      </c>
      <c r="D110" s="7" t="str">
        <f>"安徽岳西"</f>
        <v>安徽岳西</v>
      </c>
      <c r="E110" s="10" t="s">
        <v>396</v>
      </c>
      <c r="F110" s="8" t="s">
        <v>122</v>
      </c>
      <c r="G110" s="7" t="str">
        <f>"2020022803"</f>
        <v>2020022803</v>
      </c>
      <c r="H110" s="13" t="s">
        <v>238</v>
      </c>
    </row>
    <row r="111" spans="1:8" ht="18.95" customHeight="1">
      <c r="A111" s="4">
        <v>109</v>
      </c>
      <c r="B111" s="7" t="str">
        <f>"王洋"</f>
        <v>王洋</v>
      </c>
      <c r="C111" s="7" t="str">
        <f>"女"</f>
        <v>女</v>
      </c>
      <c r="D111" s="7" t="str">
        <f t="shared" ref="D111:D112" si="12">"安徽萧县"</f>
        <v>安徽萧县</v>
      </c>
      <c r="E111" s="10" t="s">
        <v>405</v>
      </c>
      <c r="F111" s="8" t="s">
        <v>139</v>
      </c>
      <c r="G111" s="7" t="str">
        <f>"2020042120"</f>
        <v>2020042120</v>
      </c>
      <c r="H111" s="13" t="s">
        <v>238</v>
      </c>
    </row>
    <row r="112" spans="1:8" ht="18.95" customHeight="1">
      <c r="A112" s="4">
        <v>110</v>
      </c>
      <c r="B112" s="7" t="str">
        <f>"张家安"</f>
        <v>张家安</v>
      </c>
      <c r="C112" s="7" t="str">
        <f>"男"</f>
        <v>男</v>
      </c>
      <c r="D112" s="7" t="str">
        <f t="shared" si="12"/>
        <v>安徽萧县</v>
      </c>
      <c r="E112" s="10" t="s">
        <v>406</v>
      </c>
      <c r="F112" s="8" t="s">
        <v>25</v>
      </c>
      <c r="G112" s="7" t="str">
        <f>"2020043115"</f>
        <v>2020043115</v>
      </c>
      <c r="H112" s="13" t="s">
        <v>238</v>
      </c>
    </row>
    <row r="113" spans="1:8" ht="18.95" customHeight="1">
      <c r="A113" s="4">
        <v>111</v>
      </c>
      <c r="B113" s="7" t="str">
        <f>"任露雨"</f>
        <v>任露雨</v>
      </c>
      <c r="C113" s="7" t="str">
        <f>"女"</f>
        <v>女</v>
      </c>
      <c r="D113" s="7" t="str">
        <f t="shared" ref="D113" si="13">"安徽淮北"</f>
        <v>安徽淮北</v>
      </c>
      <c r="E113" s="10" t="s">
        <v>407</v>
      </c>
      <c r="F113" s="8" t="s">
        <v>126</v>
      </c>
      <c r="G113" s="7" t="str">
        <f>"2020030110"</f>
        <v>2020030110</v>
      </c>
      <c r="H113" s="13" t="s">
        <v>238</v>
      </c>
    </row>
    <row r="114" spans="1:8" ht="18.95" customHeight="1">
      <c r="A114" s="4">
        <v>112</v>
      </c>
      <c r="B114" s="7" t="str">
        <f>"陈兵"</f>
        <v>陈兵</v>
      </c>
      <c r="C114" s="7" t="str">
        <f>"男"</f>
        <v>男</v>
      </c>
      <c r="D114" s="7" t="str">
        <f t="shared" ref="D114" si="14">"安徽淮北"</f>
        <v>安徽淮北</v>
      </c>
      <c r="E114" s="10" t="s">
        <v>408</v>
      </c>
      <c r="F114" s="8" t="s">
        <v>58</v>
      </c>
      <c r="G114" s="7" t="str">
        <f>"2020042102"</f>
        <v>2020042102</v>
      </c>
      <c r="H114" s="13" t="s">
        <v>239</v>
      </c>
    </row>
    <row r="115" spans="1:8" ht="18.95" customHeight="1">
      <c r="A115" s="4">
        <v>113</v>
      </c>
      <c r="B115" s="7" t="str">
        <f>"王羽"</f>
        <v>王羽</v>
      </c>
      <c r="C115" s="7" t="str">
        <f>"男"</f>
        <v>男</v>
      </c>
      <c r="D115" s="7" t="str">
        <f>"山东济宁"</f>
        <v>山东济宁</v>
      </c>
      <c r="E115" s="10" t="s">
        <v>409</v>
      </c>
      <c r="F115" s="8" t="s">
        <v>58</v>
      </c>
      <c r="G115" s="7" t="str">
        <f>"2020047318"</f>
        <v>2020047318</v>
      </c>
      <c r="H115" s="13" t="s">
        <v>239</v>
      </c>
    </row>
    <row r="116" spans="1:8" ht="18.95" customHeight="1">
      <c r="A116" s="4">
        <v>114</v>
      </c>
      <c r="B116" s="7" t="str">
        <f>"陈小蝶"</f>
        <v>陈小蝶</v>
      </c>
      <c r="C116" s="7" t="str">
        <f>"女"</f>
        <v>女</v>
      </c>
      <c r="D116" s="7" t="s">
        <v>410</v>
      </c>
      <c r="E116" s="10" t="s">
        <v>411</v>
      </c>
      <c r="F116" s="8" t="s">
        <v>96</v>
      </c>
      <c r="G116" s="7" t="str">
        <f>"2020042921"</f>
        <v>2020042921</v>
      </c>
      <c r="H116" s="12" t="s">
        <v>240</v>
      </c>
    </row>
    <row r="117" spans="1:8" ht="18.95" customHeight="1">
      <c r="A117" s="4">
        <v>115</v>
      </c>
      <c r="B117" s="7" t="str">
        <f>"刘环宇"</f>
        <v>刘环宇</v>
      </c>
      <c r="C117" s="7" t="str">
        <f>"男"</f>
        <v>男</v>
      </c>
      <c r="D117" s="7" t="str">
        <f t="shared" ref="D117" si="15">"安徽淮北"</f>
        <v>安徽淮北</v>
      </c>
      <c r="E117" s="10" t="s">
        <v>412</v>
      </c>
      <c r="F117" s="8" t="s">
        <v>24</v>
      </c>
      <c r="G117" s="7" t="str">
        <f>"2020040429"</f>
        <v>2020040429</v>
      </c>
      <c r="H117" s="12" t="s">
        <v>241</v>
      </c>
    </row>
    <row r="118" spans="1:8" s="2" customFormat="1" ht="18.95" customHeight="1">
      <c r="A118" s="4">
        <v>116</v>
      </c>
      <c r="B118" s="7" t="s">
        <v>209</v>
      </c>
      <c r="C118" s="7" t="s">
        <v>207</v>
      </c>
      <c r="D118" s="7" t="str">
        <f t="shared" ref="D118:D119" si="16">"安徽濉溪"</f>
        <v>安徽濉溪</v>
      </c>
      <c r="E118" s="10" t="s">
        <v>413</v>
      </c>
      <c r="F118" s="8" t="s">
        <v>168</v>
      </c>
      <c r="G118" s="7" t="s">
        <v>208</v>
      </c>
      <c r="H118" s="12" t="s">
        <v>242</v>
      </c>
    </row>
    <row r="119" spans="1:8" ht="18.95" customHeight="1">
      <c r="A119" s="4">
        <v>117</v>
      </c>
      <c r="B119" s="7" t="str">
        <f>"李国庆"</f>
        <v>李国庆</v>
      </c>
      <c r="C119" s="7" t="str">
        <f>"男"</f>
        <v>男</v>
      </c>
      <c r="D119" s="7" t="str">
        <f t="shared" si="16"/>
        <v>安徽濉溪</v>
      </c>
      <c r="E119" s="10" t="s">
        <v>414</v>
      </c>
      <c r="F119" s="8" t="s">
        <v>9</v>
      </c>
      <c r="G119" s="7" t="str">
        <f>"2020011306"</f>
        <v>2020011306</v>
      </c>
      <c r="H119" s="13" t="s">
        <v>243</v>
      </c>
    </row>
    <row r="120" spans="1:8" s="2" customFormat="1" ht="18.95" customHeight="1">
      <c r="A120" s="4">
        <v>118</v>
      </c>
      <c r="B120" s="7" t="s">
        <v>195</v>
      </c>
      <c r="C120" s="7" t="s">
        <v>185</v>
      </c>
      <c r="D120" s="7" t="s">
        <v>415</v>
      </c>
      <c r="E120" s="10" t="s">
        <v>416</v>
      </c>
      <c r="F120" s="8" t="s">
        <v>9</v>
      </c>
      <c r="G120" s="7" t="s">
        <v>194</v>
      </c>
      <c r="H120" s="13" t="s">
        <v>243</v>
      </c>
    </row>
    <row r="121" spans="1:8" ht="18.95" customHeight="1">
      <c r="A121" s="4">
        <v>119</v>
      </c>
      <c r="B121" s="7" t="str">
        <f>"马怡恬"</f>
        <v>马怡恬</v>
      </c>
      <c r="C121" s="7" t="str">
        <f>"女"</f>
        <v>女</v>
      </c>
      <c r="D121" s="7" t="str">
        <f>"安徽淮南"</f>
        <v>安徽淮南</v>
      </c>
      <c r="E121" s="10" t="s">
        <v>417</v>
      </c>
      <c r="F121" s="8" t="s">
        <v>181</v>
      </c>
      <c r="G121" s="7" t="str">
        <f>"2020046404"</f>
        <v>2020046404</v>
      </c>
      <c r="H121" s="13" t="s">
        <v>243</v>
      </c>
    </row>
    <row r="122" spans="1:8" ht="18.95" customHeight="1">
      <c r="A122" s="4">
        <v>120</v>
      </c>
      <c r="B122" s="7" t="str">
        <f>"裴培"</f>
        <v>裴培</v>
      </c>
      <c r="C122" s="7" t="str">
        <f>"女"</f>
        <v>女</v>
      </c>
      <c r="D122" s="7" t="str">
        <f t="shared" ref="D122:D123" si="17">"安徽淮北"</f>
        <v>安徽淮北</v>
      </c>
      <c r="E122" s="10" t="s">
        <v>418</v>
      </c>
      <c r="F122" s="8" t="s">
        <v>116</v>
      </c>
      <c r="G122" s="7" t="str">
        <f>"2020031321"</f>
        <v>2020031321</v>
      </c>
      <c r="H122" s="13" t="s">
        <v>243</v>
      </c>
    </row>
    <row r="123" spans="1:8" ht="18.95" customHeight="1">
      <c r="A123" s="4">
        <v>121</v>
      </c>
      <c r="B123" s="7" t="str">
        <f>"何雨"</f>
        <v>何雨</v>
      </c>
      <c r="C123" s="7" t="str">
        <f>"女"</f>
        <v>女</v>
      </c>
      <c r="D123" s="7" t="str">
        <f t="shared" si="17"/>
        <v>安徽淮北</v>
      </c>
      <c r="E123" s="10" t="s">
        <v>419</v>
      </c>
      <c r="F123" s="8" t="s">
        <v>51</v>
      </c>
      <c r="G123" s="7" t="str">
        <f>"2020045927"</f>
        <v>2020045927</v>
      </c>
      <c r="H123" s="12" t="s">
        <v>244</v>
      </c>
    </row>
    <row r="124" spans="1:8" ht="18.95" customHeight="1">
      <c r="A124" s="4">
        <v>122</v>
      </c>
      <c r="B124" s="7" t="str">
        <f>"李欣"</f>
        <v>李欣</v>
      </c>
      <c r="C124" s="7" t="str">
        <f>"女"</f>
        <v>女</v>
      </c>
      <c r="D124" s="7" t="str">
        <f>"安徽淮北"</f>
        <v>安徽淮北</v>
      </c>
      <c r="E124" s="10" t="s">
        <v>420</v>
      </c>
      <c r="F124" s="8" t="s">
        <v>120</v>
      </c>
      <c r="G124" s="7" t="str">
        <f>"2020041310"</f>
        <v>2020041310</v>
      </c>
      <c r="H124" s="13" t="s">
        <v>421</v>
      </c>
    </row>
    <row r="125" spans="1:8" ht="18.95" customHeight="1">
      <c r="A125" s="4">
        <v>123</v>
      </c>
      <c r="B125" s="7" t="str">
        <f>"张警方"</f>
        <v>张警方</v>
      </c>
      <c r="C125" s="7" t="str">
        <f>"女"</f>
        <v>女</v>
      </c>
      <c r="D125" s="7" t="str">
        <f>"安徽阜阳"</f>
        <v>安徽阜阳</v>
      </c>
      <c r="E125" s="10" t="s">
        <v>422</v>
      </c>
      <c r="F125" s="8" t="s">
        <v>120</v>
      </c>
      <c r="G125" s="7" t="str">
        <f>"2020041623"</f>
        <v>2020041623</v>
      </c>
      <c r="H125" s="13" t="s">
        <v>421</v>
      </c>
    </row>
    <row r="126" spans="1:8" ht="18.95" customHeight="1">
      <c r="A126" s="4">
        <v>124</v>
      </c>
      <c r="B126" s="7" t="str">
        <f>"李印泽"</f>
        <v>李印泽</v>
      </c>
      <c r="C126" s="7" t="str">
        <f>"男"</f>
        <v>男</v>
      </c>
      <c r="D126" s="7" t="str">
        <f>"山东郯城"</f>
        <v>山东郯城</v>
      </c>
      <c r="E126" s="10" t="s">
        <v>423</v>
      </c>
      <c r="F126" s="8" t="s">
        <v>84</v>
      </c>
      <c r="G126" s="7" t="str">
        <f>"2020047425"</f>
        <v>2020047425</v>
      </c>
      <c r="H126" s="13" t="s">
        <v>421</v>
      </c>
    </row>
    <row r="127" spans="1:8" s="2" customFormat="1" ht="18.95" customHeight="1">
      <c r="A127" s="4">
        <v>125</v>
      </c>
      <c r="B127" s="7" t="s">
        <v>211</v>
      </c>
      <c r="C127" s="7" t="s">
        <v>207</v>
      </c>
      <c r="D127" s="7" t="s">
        <v>424</v>
      </c>
      <c r="E127" s="10" t="s">
        <v>425</v>
      </c>
      <c r="F127" s="8" t="s">
        <v>157</v>
      </c>
      <c r="G127" s="7" t="s">
        <v>210</v>
      </c>
      <c r="H127" s="13" t="s">
        <v>426</v>
      </c>
    </row>
    <row r="128" spans="1:8" ht="18.95" customHeight="1">
      <c r="A128" s="4">
        <v>126</v>
      </c>
      <c r="B128" s="7" t="str">
        <f>"丁克强"</f>
        <v>丁克强</v>
      </c>
      <c r="C128" s="7" t="str">
        <f>"男"</f>
        <v>男</v>
      </c>
      <c r="D128" s="7" t="str">
        <f>"安徽淮北"</f>
        <v>安徽淮北</v>
      </c>
      <c r="E128" s="10" t="s">
        <v>427</v>
      </c>
      <c r="F128" s="8" t="s">
        <v>35</v>
      </c>
      <c r="G128" s="7" t="str">
        <f>"2020044011"</f>
        <v>2020044011</v>
      </c>
      <c r="H128" s="13" t="s">
        <v>426</v>
      </c>
    </row>
    <row r="129" spans="1:8" ht="18.95" customHeight="1">
      <c r="A129" s="4">
        <v>127</v>
      </c>
      <c r="B129" s="7" t="str">
        <f>"曾秀云"</f>
        <v>曾秀云</v>
      </c>
      <c r="C129" s="7" t="str">
        <f>"女"</f>
        <v>女</v>
      </c>
      <c r="D129" s="7" t="str">
        <f>"安徽淮北"</f>
        <v>安徽淮北</v>
      </c>
      <c r="E129" s="10" t="s">
        <v>428</v>
      </c>
      <c r="F129" s="8" t="s">
        <v>156</v>
      </c>
      <c r="G129" s="7" t="str">
        <f>"2020045101"</f>
        <v>2020045101</v>
      </c>
      <c r="H129" s="12" t="s">
        <v>245</v>
      </c>
    </row>
    <row r="130" spans="1:8" ht="18.95" customHeight="1">
      <c r="A130" s="4">
        <v>128</v>
      </c>
      <c r="B130" s="7" t="str">
        <f>"姚翠侠"</f>
        <v>姚翠侠</v>
      </c>
      <c r="C130" s="7" t="str">
        <f>"女"</f>
        <v>女</v>
      </c>
      <c r="D130" s="7" t="str">
        <f>"安徽濉溪"</f>
        <v>安徽濉溪</v>
      </c>
      <c r="E130" s="10" t="s">
        <v>429</v>
      </c>
      <c r="F130" s="8" t="s">
        <v>149</v>
      </c>
      <c r="G130" s="7" t="str">
        <f>"2020022027"</f>
        <v>2020022027</v>
      </c>
      <c r="H130" s="12" t="s">
        <v>246</v>
      </c>
    </row>
    <row r="131" spans="1:8" ht="18.95" customHeight="1">
      <c r="A131" s="4">
        <v>129</v>
      </c>
      <c r="B131" s="7" t="str">
        <f>"刘良瑾"</f>
        <v>刘良瑾</v>
      </c>
      <c r="C131" s="7" t="str">
        <f>"男"</f>
        <v>男</v>
      </c>
      <c r="D131" s="7" t="str">
        <f>"安徽淮北"</f>
        <v>安徽淮北</v>
      </c>
      <c r="E131" s="10" t="s">
        <v>430</v>
      </c>
      <c r="F131" s="8" t="s">
        <v>124</v>
      </c>
      <c r="G131" s="7" t="str">
        <f>"2020032309"</f>
        <v>2020032309</v>
      </c>
      <c r="H131" s="13" t="s">
        <v>247</v>
      </c>
    </row>
    <row r="132" spans="1:8" ht="18.95" customHeight="1">
      <c r="A132" s="4">
        <v>130</v>
      </c>
      <c r="B132" s="7" t="str">
        <f>"赵凌霄"</f>
        <v>赵凌霄</v>
      </c>
      <c r="C132" s="7" t="str">
        <f>"男"</f>
        <v>男</v>
      </c>
      <c r="D132" s="7" t="str">
        <f>"安徽淮北"</f>
        <v>安徽淮北</v>
      </c>
      <c r="E132" s="10" t="s">
        <v>431</v>
      </c>
      <c r="F132" s="8" t="s">
        <v>83</v>
      </c>
      <c r="G132" s="7" t="str">
        <f>"2020011718"</f>
        <v>2020011718</v>
      </c>
      <c r="H132" s="13" t="s">
        <v>247</v>
      </c>
    </row>
    <row r="133" spans="1:8" ht="18.95" customHeight="1">
      <c r="A133" s="4">
        <v>131</v>
      </c>
      <c r="B133" s="7" t="str">
        <f>"牛子琨"</f>
        <v>牛子琨</v>
      </c>
      <c r="C133" s="7" t="str">
        <f>"男"</f>
        <v>男</v>
      </c>
      <c r="D133" s="7" t="str">
        <f>"安徽濉溪"</f>
        <v>安徽濉溪</v>
      </c>
      <c r="E133" s="10" t="s">
        <v>432</v>
      </c>
      <c r="F133" s="8" t="s">
        <v>109</v>
      </c>
      <c r="G133" s="7" t="str">
        <f>"2020046415"</f>
        <v>2020046415</v>
      </c>
      <c r="H133" s="12" t="s">
        <v>248</v>
      </c>
    </row>
    <row r="134" spans="1:8" ht="18.95" customHeight="1">
      <c r="A134" s="4">
        <v>132</v>
      </c>
      <c r="B134" s="7" t="str">
        <f>"高楚"</f>
        <v>高楚</v>
      </c>
      <c r="C134" s="7" t="str">
        <f>"男"</f>
        <v>男</v>
      </c>
      <c r="D134" s="7" t="str">
        <f>"安徽泗县"</f>
        <v>安徽泗县</v>
      </c>
      <c r="E134" s="10" t="s">
        <v>433</v>
      </c>
      <c r="F134" s="8" t="s">
        <v>15</v>
      </c>
      <c r="G134" s="7" t="str">
        <f>"2020020706"</f>
        <v>2020020706</v>
      </c>
      <c r="H134" s="13" t="s">
        <v>434</v>
      </c>
    </row>
    <row r="135" spans="1:8" ht="18.95" customHeight="1">
      <c r="A135" s="4">
        <v>133</v>
      </c>
      <c r="B135" s="7" t="str">
        <f>"马阳"</f>
        <v>马阳</v>
      </c>
      <c r="C135" s="7" t="str">
        <f>"男"</f>
        <v>男</v>
      </c>
      <c r="D135" s="7" t="str">
        <f t="shared" ref="D135:D136" si="18">"安徽淮北"</f>
        <v>安徽淮北</v>
      </c>
      <c r="E135" s="10" t="s">
        <v>435</v>
      </c>
      <c r="F135" s="8" t="s">
        <v>7</v>
      </c>
      <c r="G135" s="7" t="str">
        <f>"2020046112"</f>
        <v>2020046112</v>
      </c>
      <c r="H135" s="13" t="s">
        <v>434</v>
      </c>
    </row>
    <row r="136" spans="1:8" ht="18.95" customHeight="1">
      <c r="A136" s="4">
        <v>134</v>
      </c>
      <c r="B136" s="7" t="str">
        <f>"朱葳"</f>
        <v>朱葳</v>
      </c>
      <c r="C136" s="7" t="str">
        <f>"女"</f>
        <v>女</v>
      </c>
      <c r="D136" s="7" t="str">
        <f t="shared" si="18"/>
        <v>安徽淮北</v>
      </c>
      <c r="E136" s="10" t="s">
        <v>436</v>
      </c>
      <c r="F136" s="8" t="s">
        <v>7</v>
      </c>
      <c r="G136" s="7" t="str">
        <f>"2020022201"</f>
        <v>2020022201</v>
      </c>
      <c r="H136" s="13" t="s">
        <v>434</v>
      </c>
    </row>
    <row r="137" spans="1:8" ht="18.95" customHeight="1">
      <c r="A137" s="4">
        <v>135</v>
      </c>
      <c r="B137" s="7" t="str">
        <f>"景凤龙"</f>
        <v>景凤龙</v>
      </c>
      <c r="C137" s="7" t="str">
        <f>"女"</f>
        <v>女</v>
      </c>
      <c r="D137" s="7" t="str">
        <f>"安徽淮北"</f>
        <v>安徽淮北</v>
      </c>
      <c r="E137" s="10" t="s">
        <v>437</v>
      </c>
      <c r="F137" s="8" t="s">
        <v>59</v>
      </c>
      <c r="G137" s="7" t="str">
        <f>"2020030802"</f>
        <v>2020030802</v>
      </c>
      <c r="H137" s="13" t="s">
        <v>434</v>
      </c>
    </row>
    <row r="138" spans="1:8" ht="18.95" customHeight="1">
      <c r="A138" s="4">
        <v>136</v>
      </c>
      <c r="B138" s="7" t="str">
        <f>"孙雅君"</f>
        <v>孙雅君</v>
      </c>
      <c r="C138" s="7" t="str">
        <f>"女"</f>
        <v>女</v>
      </c>
      <c r="D138" s="7" t="str">
        <f>"安徽宿州"</f>
        <v>安徽宿州</v>
      </c>
      <c r="E138" s="10" t="s">
        <v>438</v>
      </c>
      <c r="F138" s="8" t="s">
        <v>63</v>
      </c>
      <c r="G138" s="7" t="str">
        <f>"2020030803"</f>
        <v>2020030803</v>
      </c>
      <c r="H138" s="13" t="s">
        <v>434</v>
      </c>
    </row>
    <row r="139" spans="1:8" ht="18.95" customHeight="1">
      <c r="A139" s="4">
        <v>137</v>
      </c>
      <c r="B139" s="7" t="str">
        <f>"吕银"</f>
        <v>吕银</v>
      </c>
      <c r="C139" s="7" t="str">
        <f>"女"</f>
        <v>女</v>
      </c>
      <c r="D139" s="7" t="str">
        <f>"安徽濉溪"</f>
        <v>安徽濉溪</v>
      </c>
      <c r="E139" s="10" t="s">
        <v>439</v>
      </c>
      <c r="F139" s="8" t="s">
        <v>159</v>
      </c>
      <c r="G139" s="7" t="str">
        <f>"2020042216"</f>
        <v>2020042216</v>
      </c>
      <c r="H139" s="12" t="s">
        <v>249</v>
      </c>
    </row>
    <row r="140" spans="1:8" ht="18.95" customHeight="1">
      <c r="A140" s="4">
        <v>138</v>
      </c>
      <c r="B140" s="7" t="str">
        <f>"陈翔"</f>
        <v>陈翔</v>
      </c>
      <c r="C140" s="7" t="str">
        <f>"男"</f>
        <v>男</v>
      </c>
      <c r="D140" s="7" t="str">
        <f>"安徽淮北"</f>
        <v>安徽淮北</v>
      </c>
      <c r="E140" s="10" t="s">
        <v>440</v>
      </c>
      <c r="F140" s="8" t="s">
        <v>121</v>
      </c>
      <c r="G140" s="7" t="str">
        <f>"2020044214"</f>
        <v>2020044214</v>
      </c>
      <c r="H140" s="12" t="s">
        <v>250</v>
      </c>
    </row>
    <row r="141" spans="1:8" ht="18.95" customHeight="1">
      <c r="A141" s="4">
        <v>139</v>
      </c>
      <c r="B141" s="7" t="str">
        <f>"张之栋"</f>
        <v>张之栋</v>
      </c>
      <c r="C141" s="7" t="str">
        <f>"男"</f>
        <v>男</v>
      </c>
      <c r="D141" s="7" t="str">
        <f>"安徽萧县"</f>
        <v>安徽萧县</v>
      </c>
      <c r="E141" s="10" t="s">
        <v>441</v>
      </c>
      <c r="F141" s="8" t="s">
        <v>158</v>
      </c>
      <c r="G141" s="7" t="str">
        <f>"2020020201"</f>
        <v>2020020201</v>
      </c>
      <c r="H141" s="12" t="s">
        <v>251</v>
      </c>
    </row>
    <row r="142" spans="1:8" ht="18.95" customHeight="1">
      <c r="A142" s="4">
        <v>140</v>
      </c>
      <c r="B142" s="7" t="str">
        <f>"张亚"</f>
        <v>张亚</v>
      </c>
      <c r="C142" s="7" t="str">
        <f>"女"</f>
        <v>女</v>
      </c>
      <c r="D142" s="7" t="str">
        <f>"安徽金寨"</f>
        <v>安徽金寨</v>
      </c>
      <c r="E142" s="10" t="s">
        <v>430</v>
      </c>
      <c r="F142" s="8" t="s">
        <v>164</v>
      </c>
      <c r="G142" s="7" t="str">
        <f>"2020046001"</f>
        <v>2020046001</v>
      </c>
      <c r="H142" s="12" t="s">
        <v>252</v>
      </c>
    </row>
    <row r="143" spans="1:8" ht="18.95" customHeight="1">
      <c r="A143" s="4">
        <v>141</v>
      </c>
      <c r="B143" s="7" t="str">
        <f>"吴岳辰阳"</f>
        <v>吴岳辰阳</v>
      </c>
      <c r="C143" s="7" t="str">
        <f>"男"</f>
        <v>男</v>
      </c>
      <c r="D143" s="7" t="str">
        <f t="shared" ref="D143" si="19">"安徽淮北"</f>
        <v>安徽淮北</v>
      </c>
      <c r="E143" s="10" t="s">
        <v>442</v>
      </c>
      <c r="F143" s="8" t="s">
        <v>49</v>
      </c>
      <c r="G143" s="7" t="str">
        <f>"2020021311"</f>
        <v>2020021311</v>
      </c>
      <c r="H143" s="13" t="s">
        <v>443</v>
      </c>
    </row>
    <row r="144" spans="1:8" s="2" customFormat="1" ht="18.95" customHeight="1">
      <c r="A144" s="4">
        <v>142</v>
      </c>
      <c r="B144" s="7" t="s">
        <v>197</v>
      </c>
      <c r="C144" s="7" t="s">
        <v>185</v>
      </c>
      <c r="D144" s="7" t="s">
        <v>444</v>
      </c>
      <c r="E144" s="10">
        <v>1994.04</v>
      </c>
      <c r="F144" s="8" t="s">
        <v>49</v>
      </c>
      <c r="G144" s="7" t="s">
        <v>196</v>
      </c>
      <c r="H144" s="13" t="s">
        <v>445</v>
      </c>
    </row>
    <row r="145" spans="1:8" ht="18.95" customHeight="1">
      <c r="A145" s="4">
        <v>143</v>
      </c>
      <c r="B145" s="7" t="str">
        <f>"张春杨"</f>
        <v>张春杨</v>
      </c>
      <c r="C145" s="7" t="str">
        <f>"男"</f>
        <v>男</v>
      </c>
      <c r="D145" s="7" t="str">
        <f>"安徽阜南"</f>
        <v>安徽阜南</v>
      </c>
      <c r="E145" s="10">
        <v>1998.02</v>
      </c>
      <c r="F145" s="8" t="s">
        <v>166</v>
      </c>
      <c r="G145" s="7" t="str">
        <f>"2020022729"</f>
        <v>2020022729</v>
      </c>
      <c r="H145" s="13" t="s">
        <v>445</v>
      </c>
    </row>
    <row r="146" spans="1:8" ht="18.95" customHeight="1">
      <c r="A146" s="4">
        <v>144</v>
      </c>
      <c r="B146" s="7" t="str">
        <f>"席岚"</f>
        <v>席岚</v>
      </c>
      <c r="C146" s="7" t="str">
        <f>"女"</f>
        <v>女</v>
      </c>
      <c r="D146" s="7" t="str">
        <f>"安徽淮北"</f>
        <v>安徽淮北</v>
      </c>
      <c r="E146" s="10">
        <v>1998.11</v>
      </c>
      <c r="F146" s="8" t="s">
        <v>107</v>
      </c>
      <c r="G146" s="7" t="str">
        <f>"2020043324"</f>
        <v>2020043324</v>
      </c>
      <c r="H146" s="14" t="s">
        <v>295</v>
      </c>
    </row>
    <row r="147" spans="1:8" ht="18.95" customHeight="1">
      <c r="A147" s="4">
        <v>145</v>
      </c>
      <c r="B147" s="7" t="str">
        <f>"黄山"</f>
        <v>黄山</v>
      </c>
      <c r="C147" s="7" t="str">
        <f>"男"</f>
        <v>男</v>
      </c>
      <c r="D147" s="7" t="str">
        <f t="shared" ref="D147:D148" si="20">"安徽淮北"</f>
        <v>安徽淮北</v>
      </c>
      <c r="E147" s="10" t="s">
        <v>446</v>
      </c>
      <c r="F147" s="8" t="s">
        <v>65</v>
      </c>
      <c r="G147" s="7" t="str">
        <f>"2020040127"</f>
        <v>2020040127</v>
      </c>
      <c r="H147" s="14" t="s">
        <v>295</v>
      </c>
    </row>
    <row r="148" spans="1:8" s="2" customFormat="1" ht="18.95" customHeight="1">
      <c r="A148" s="4">
        <v>146</v>
      </c>
      <c r="B148" s="7" t="s">
        <v>199</v>
      </c>
      <c r="C148" s="7" t="s">
        <v>185</v>
      </c>
      <c r="D148" s="7" t="str">
        <f t="shared" si="20"/>
        <v>安徽淮北</v>
      </c>
      <c r="E148" s="10">
        <v>1995.01</v>
      </c>
      <c r="F148" s="8" t="s">
        <v>65</v>
      </c>
      <c r="G148" s="7" t="s">
        <v>198</v>
      </c>
      <c r="H148" s="14" t="s">
        <v>295</v>
      </c>
    </row>
    <row r="149" spans="1:8" ht="18.95" customHeight="1">
      <c r="A149" s="4">
        <v>147</v>
      </c>
      <c r="B149" s="7" t="str">
        <f>"董志恒"</f>
        <v>董志恒</v>
      </c>
      <c r="C149" s="7" t="str">
        <f>"男"</f>
        <v>男</v>
      </c>
      <c r="D149" s="7" t="str">
        <f t="shared" ref="D149:D150" si="21">"安徽濉溪"</f>
        <v>安徽濉溪</v>
      </c>
      <c r="E149" s="10">
        <v>1992.01</v>
      </c>
      <c r="F149" s="8" t="s">
        <v>57</v>
      </c>
      <c r="G149" s="7" t="str">
        <f>"2020046620"</f>
        <v>2020046620</v>
      </c>
      <c r="H149" s="15" t="s">
        <v>296</v>
      </c>
    </row>
    <row r="150" spans="1:8" ht="18.95" customHeight="1">
      <c r="A150" s="4">
        <v>148</v>
      </c>
      <c r="B150" s="7" t="str">
        <f>"代陕陕"</f>
        <v>代陕陕</v>
      </c>
      <c r="C150" s="7" t="str">
        <f>"女"</f>
        <v>女</v>
      </c>
      <c r="D150" s="7" t="str">
        <f t="shared" si="21"/>
        <v>安徽濉溪</v>
      </c>
      <c r="E150" s="10">
        <v>1997.07</v>
      </c>
      <c r="F150" s="8" t="s">
        <v>57</v>
      </c>
      <c r="G150" s="7" t="str">
        <f>"2020030702"</f>
        <v>2020030702</v>
      </c>
      <c r="H150" s="15" t="s">
        <v>297</v>
      </c>
    </row>
    <row r="151" spans="1:8" ht="18.95" customHeight="1">
      <c r="A151" s="4">
        <v>149</v>
      </c>
      <c r="B151" s="7" t="str">
        <f>"侯玉娇"</f>
        <v>侯玉娇</v>
      </c>
      <c r="C151" s="7" t="str">
        <f>"女"</f>
        <v>女</v>
      </c>
      <c r="D151" s="7" t="str">
        <f t="shared" ref="D151:D154" si="22">"安徽淮北"</f>
        <v>安徽淮北</v>
      </c>
      <c r="E151" s="10">
        <v>1996.09</v>
      </c>
      <c r="F151" s="8" t="s">
        <v>79</v>
      </c>
      <c r="G151" s="7" t="str">
        <f>"2020024212"</f>
        <v>2020024212</v>
      </c>
      <c r="H151" s="14" t="s">
        <v>298</v>
      </c>
    </row>
    <row r="152" spans="1:8" ht="18.95" customHeight="1">
      <c r="A152" s="4">
        <v>150</v>
      </c>
      <c r="B152" s="7" t="str">
        <f>"雷梦"</f>
        <v>雷梦</v>
      </c>
      <c r="C152" s="7" t="str">
        <f>"女"</f>
        <v>女</v>
      </c>
      <c r="D152" s="7" t="str">
        <f t="shared" si="22"/>
        <v>安徽淮北</v>
      </c>
      <c r="E152" s="10">
        <v>1995.01</v>
      </c>
      <c r="F152" s="8" t="s">
        <v>41</v>
      </c>
      <c r="G152" s="7" t="str">
        <f>"2020010230"</f>
        <v>2020010230</v>
      </c>
      <c r="H152" s="14" t="s">
        <v>298</v>
      </c>
    </row>
    <row r="153" spans="1:8" ht="18.95" customHeight="1">
      <c r="A153" s="4">
        <v>151</v>
      </c>
      <c r="B153" s="7" t="str">
        <f>"徐金梦"</f>
        <v>徐金梦</v>
      </c>
      <c r="C153" s="7" t="str">
        <f>"女"</f>
        <v>女</v>
      </c>
      <c r="D153" s="7" t="str">
        <f t="shared" si="22"/>
        <v>安徽淮北</v>
      </c>
      <c r="E153" s="10">
        <v>1994.04</v>
      </c>
      <c r="F153" s="8" t="s">
        <v>135</v>
      </c>
      <c r="G153" s="7" t="str">
        <f>"2020022514"</f>
        <v>2020022514</v>
      </c>
      <c r="H153" s="14" t="s">
        <v>298</v>
      </c>
    </row>
    <row r="154" spans="1:8" ht="18.95" customHeight="1">
      <c r="A154" s="4">
        <v>152</v>
      </c>
      <c r="B154" s="7" t="str">
        <f>"周晓宇"</f>
        <v>周晓宇</v>
      </c>
      <c r="C154" s="7" t="str">
        <f>"女"</f>
        <v>女</v>
      </c>
      <c r="D154" s="7" t="str">
        <f t="shared" si="22"/>
        <v>安徽淮北</v>
      </c>
      <c r="E154" s="10">
        <v>1997.02</v>
      </c>
      <c r="F154" s="8" t="s">
        <v>151</v>
      </c>
      <c r="G154" s="7" t="str">
        <f>"2020011110"</f>
        <v>2020011110</v>
      </c>
      <c r="H154" s="14" t="s">
        <v>298</v>
      </c>
    </row>
    <row r="155" spans="1:8" ht="18.95" customHeight="1">
      <c r="A155" s="4">
        <v>153</v>
      </c>
      <c r="B155" s="7" t="str">
        <f>"徐盼飞"</f>
        <v>徐盼飞</v>
      </c>
      <c r="C155" s="7" t="str">
        <f>"男"</f>
        <v>男</v>
      </c>
      <c r="D155" s="7" t="str">
        <f t="shared" ref="D155:D159" si="23">"安徽濉溪"</f>
        <v>安徽濉溪</v>
      </c>
      <c r="E155" s="10">
        <v>1995.02</v>
      </c>
      <c r="F155" s="8" t="s">
        <v>52</v>
      </c>
      <c r="G155" s="7" t="str">
        <f>"2020044113"</f>
        <v>2020044113</v>
      </c>
      <c r="H155" s="14" t="s">
        <v>298</v>
      </c>
    </row>
    <row r="156" spans="1:8" ht="18.95" customHeight="1">
      <c r="A156" s="4">
        <v>154</v>
      </c>
      <c r="B156" s="7" t="str">
        <f>"尹士"</f>
        <v>尹士</v>
      </c>
      <c r="C156" s="7" t="str">
        <f>"男"</f>
        <v>男</v>
      </c>
      <c r="D156" s="7" t="s">
        <v>447</v>
      </c>
      <c r="E156" s="10">
        <v>1995.08</v>
      </c>
      <c r="F156" s="8" t="s">
        <v>128</v>
      </c>
      <c r="G156" s="7" t="str">
        <f>"2020020829"</f>
        <v>2020020829</v>
      </c>
      <c r="H156" s="15" t="s">
        <v>299</v>
      </c>
    </row>
    <row r="157" spans="1:8" ht="18.95" customHeight="1">
      <c r="A157" s="4">
        <v>155</v>
      </c>
      <c r="B157" s="7" t="str">
        <f>"孙玉茹"</f>
        <v>孙玉茹</v>
      </c>
      <c r="C157" s="7" t="str">
        <f>"女"</f>
        <v>女</v>
      </c>
      <c r="D157" s="7" t="str">
        <f t="shared" si="23"/>
        <v>安徽濉溪</v>
      </c>
      <c r="E157" s="10">
        <v>1996.03</v>
      </c>
      <c r="F157" s="8" t="s">
        <v>117</v>
      </c>
      <c r="G157" s="7" t="str">
        <f>"2020034022"</f>
        <v>2020034022</v>
      </c>
      <c r="H157" s="14" t="s">
        <v>300</v>
      </c>
    </row>
    <row r="158" spans="1:8" ht="18.95" customHeight="1">
      <c r="A158" s="4">
        <v>156</v>
      </c>
      <c r="B158" s="7" t="str">
        <f>"马一帆"</f>
        <v>马一帆</v>
      </c>
      <c r="C158" s="7" t="str">
        <f>"女"</f>
        <v>女</v>
      </c>
      <c r="D158" s="7" t="str">
        <f t="shared" ref="D158" si="24">"安徽淮北"</f>
        <v>安徽淮北</v>
      </c>
      <c r="E158" s="10">
        <v>1995.01</v>
      </c>
      <c r="F158" s="8" t="s">
        <v>117</v>
      </c>
      <c r="G158" s="7" t="str">
        <f>"2020023419"</f>
        <v>2020023419</v>
      </c>
      <c r="H158" s="14" t="s">
        <v>300</v>
      </c>
    </row>
    <row r="159" spans="1:8" ht="18.95" customHeight="1">
      <c r="A159" s="4">
        <v>157</v>
      </c>
      <c r="B159" s="7" t="str">
        <f>"徐畅"</f>
        <v>徐畅</v>
      </c>
      <c r="C159" s="7" t="str">
        <f>"女"</f>
        <v>女</v>
      </c>
      <c r="D159" s="7" t="str">
        <f t="shared" si="23"/>
        <v>安徽濉溪</v>
      </c>
      <c r="E159" s="10">
        <v>1999.04</v>
      </c>
      <c r="F159" s="8" t="s">
        <v>152</v>
      </c>
      <c r="G159" s="7" t="str">
        <f>"2020046519"</f>
        <v>2020046519</v>
      </c>
      <c r="H159" s="14" t="s">
        <v>300</v>
      </c>
    </row>
    <row r="160" spans="1:8" ht="18.95" customHeight="1">
      <c r="A160" s="4">
        <v>158</v>
      </c>
      <c r="B160" s="7" t="str">
        <f>"陈若男"</f>
        <v>陈若男</v>
      </c>
      <c r="C160" s="7" t="str">
        <f>"女"</f>
        <v>女</v>
      </c>
      <c r="D160" s="7" t="str">
        <f>"浙江湖州"</f>
        <v>浙江湖州</v>
      </c>
      <c r="E160" s="10">
        <v>1998.01</v>
      </c>
      <c r="F160" s="8" t="s">
        <v>173</v>
      </c>
      <c r="G160" s="7" t="str">
        <f>"2020040922"</f>
        <v>2020040922</v>
      </c>
      <c r="H160" s="15" t="s">
        <v>301</v>
      </c>
    </row>
    <row r="161" spans="1:8" ht="18.95" customHeight="1">
      <c r="A161" s="4">
        <v>159</v>
      </c>
      <c r="B161" s="7" t="str">
        <f>"李浩"</f>
        <v>李浩</v>
      </c>
      <c r="C161" s="7" t="str">
        <f t="shared" ref="C161:C171" si="25">"男"</f>
        <v>男</v>
      </c>
      <c r="D161" s="7" t="str">
        <f>"安徽亳州"</f>
        <v>安徽亳州</v>
      </c>
      <c r="E161" s="10">
        <v>1996.07</v>
      </c>
      <c r="F161" s="8" t="s">
        <v>39</v>
      </c>
      <c r="G161" s="7" t="str">
        <f>"2020044908"</f>
        <v>2020044908</v>
      </c>
      <c r="H161" s="13" t="s">
        <v>448</v>
      </c>
    </row>
    <row r="162" spans="1:8" ht="18.95" customHeight="1">
      <c r="A162" s="4">
        <v>160</v>
      </c>
      <c r="B162" s="7" t="str">
        <f>"李海洋 "</f>
        <v xml:space="preserve">李海洋 </v>
      </c>
      <c r="C162" s="7" t="str">
        <f t="shared" si="25"/>
        <v>男</v>
      </c>
      <c r="D162" s="7" t="str">
        <f t="shared" ref="D162" si="26">"安徽濉溪"</f>
        <v>安徽濉溪</v>
      </c>
      <c r="E162" s="10">
        <v>1992.03</v>
      </c>
      <c r="F162" s="8" t="s">
        <v>39</v>
      </c>
      <c r="G162" s="7" t="str">
        <f>"2020047102"</f>
        <v>2020047102</v>
      </c>
      <c r="H162" s="13" t="s">
        <v>448</v>
      </c>
    </row>
    <row r="163" spans="1:8" ht="18.95" customHeight="1">
      <c r="A163" s="4">
        <v>161</v>
      </c>
      <c r="B163" s="7" t="str">
        <f>"赵志博"</f>
        <v>赵志博</v>
      </c>
      <c r="C163" s="7" t="str">
        <f t="shared" si="25"/>
        <v>男</v>
      </c>
      <c r="D163" s="7" t="str">
        <f t="shared" ref="D163" si="27">"安徽淮北"</f>
        <v>安徽淮北</v>
      </c>
      <c r="E163" s="10">
        <v>1996.05</v>
      </c>
      <c r="F163" s="8" t="s">
        <v>39</v>
      </c>
      <c r="G163" s="7" t="str">
        <f>"2020020503"</f>
        <v>2020020503</v>
      </c>
      <c r="H163" s="13" t="s">
        <v>448</v>
      </c>
    </row>
    <row r="164" spans="1:8" ht="18.95" customHeight="1">
      <c r="A164" s="4">
        <v>162</v>
      </c>
      <c r="B164" s="7" t="str">
        <f>"杨凯文"</f>
        <v>杨凯文</v>
      </c>
      <c r="C164" s="7" t="str">
        <f t="shared" si="25"/>
        <v>男</v>
      </c>
      <c r="D164" s="7" t="str">
        <f>"安徽砀山"</f>
        <v>安徽砀山</v>
      </c>
      <c r="E164" s="10" t="s">
        <v>449</v>
      </c>
      <c r="F164" s="8" t="s">
        <v>39</v>
      </c>
      <c r="G164" s="7" t="str">
        <f>"2020013026"</f>
        <v>2020013026</v>
      </c>
      <c r="H164" s="13" t="s">
        <v>448</v>
      </c>
    </row>
    <row r="165" spans="1:8" ht="18.95" customHeight="1">
      <c r="A165" s="4">
        <v>163</v>
      </c>
      <c r="B165" s="7" t="str">
        <f>"杜明念"</f>
        <v>杜明念</v>
      </c>
      <c r="C165" s="7" t="str">
        <f t="shared" si="25"/>
        <v>男</v>
      </c>
      <c r="D165" s="7" t="str">
        <f t="shared" ref="D165" si="28">"安徽萧县"</f>
        <v>安徽萧县</v>
      </c>
      <c r="E165" s="10">
        <v>1997.07</v>
      </c>
      <c r="F165" s="8" t="s">
        <v>60</v>
      </c>
      <c r="G165" s="7" t="str">
        <f>"2020023201"</f>
        <v>2020023201</v>
      </c>
      <c r="H165" s="13" t="s">
        <v>448</v>
      </c>
    </row>
    <row r="166" spans="1:8" ht="18.95" customHeight="1">
      <c r="A166" s="4">
        <v>164</v>
      </c>
      <c r="B166" s="7" t="str">
        <f>"张宏"</f>
        <v>张宏</v>
      </c>
      <c r="C166" s="7" t="str">
        <f t="shared" si="25"/>
        <v>男</v>
      </c>
      <c r="D166" s="7" t="str">
        <f>"安徽利辛"</f>
        <v>安徽利辛</v>
      </c>
      <c r="E166" s="10">
        <v>1995.05</v>
      </c>
      <c r="F166" s="8" t="s">
        <v>60</v>
      </c>
      <c r="G166" s="7" t="str">
        <f>"2020020320"</f>
        <v>2020020320</v>
      </c>
      <c r="H166" s="13" t="s">
        <v>448</v>
      </c>
    </row>
    <row r="167" spans="1:8" ht="18.95" customHeight="1">
      <c r="A167" s="4">
        <v>165</v>
      </c>
      <c r="B167" s="7" t="str">
        <f>"叶子正"</f>
        <v>叶子正</v>
      </c>
      <c r="C167" s="7" t="str">
        <f t="shared" si="25"/>
        <v>男</v>
      </c>
      <c r="D167" s="7" t="str">
        <f t="shared" ref="D167:D169" si="29">"安徽淮北"</f>
        <v>安徽淮北</v>
      </c>
      <c r="E167" s="10">
        <v>1991.06</v>
      </c>
      <c r="F167" s="8" t="s">
        <v>5</v>
      </c>
      <c r="G167" s="7" t="str">
        <f>"2020044309"</f>
        <v>2020044309</v>
      </c>
      <c r="H167" s="13" t="s">
        <v>448</v>
      </c>
    </row>
    <row r="168" spans="1:8" ht="18.95" customHeight="1">
      <c r="A168" s="4">
        <v>166</v>
      </c>
      <c r="B168" s="7" t="str">
        <f>"魏朝阳"</f>
        <v>魏朝阳</v>
      </c>
      <c r="C168" s="7" t="str">
        <f t="shared" si="25"/>
        <v>男</v>
      </c>
      <c r="D168" s="7" t="str">
        <f t="shared" si="29"/>
        <v>安徽淮北</v>
      </c>
      <c r="E168" s="10">
        <v>1997.01</v>
      </c>
      <c r="F168" s="8" t="s">
        <v>27</v>
      </c>
      <c r="G168" s="7" t="str">
        <f>"2020012616"</f>
        <v>2020012616</v>
      </c>
      <c r="H168" s="13" t="s">
        <v>448</v>
      </c>
    </row>
    <row r="169" spans="1:8" ht="18.95" customHeight="1">
      <c r="A169" s="4">
        <v>167</v>
      </c>
      <c r="B169" s="7" t="str">
        <f>"王后升"</f>
        <v>王后升</v>
      </c>
      <c r="C169" s="7" t="str">
        <f t="shared" si="25"/>
        <v>男</v>
      </c>
      <c r="D169" s="7" t="str">
        <f t="shared" si="29"/>
        <v>安徽淮北</v>
      </c>
      <c r="E169" s="10">
        <v>1990.12</v>
      </c>
      <c r="F169" s="8" t="s">
        <v>82</v>
      </c>
      <c r="G169" s="7" t="str">
        <f>"2020040509"</f>
        <v>2020040509</v>
      </c>
      <c r="H169" s="13" t="s">
        <v>448</v>
      </c>
    </row>
    <row r="170" spans="1:8" ht="18.95" customHeight="1">
      <c r="A170" s="4">
        <v>168</v>
      </c>
      <c r="B170" s="7" t="str">
        <f>"黄海蛟"</f>
        <v>黄海蛟</v>
      </c>
      <c r="C170" s="7" t="str">
        <f t="shared" si="25"/>
        <v>男</v>
      </c>
      <c r="D170" s="7" t="str">
        <f>"江苏宝应"</f>
        <v>江苏宝应</v>
      </c>
      <c r="E170" s="10">
        <v>1994.11</v>
      </c>
      <c r="F170" s="8" t="s">
        <v>160</v>
      </c>
      <c r="G170" s="7" t="str">
        <f>"2020021313"</f>
        <v>2020021313</v>
      </c>
      <c r="H170" s="13" t="s">
        <v>448</v>
      </c>
    </row>
    <row r="171" spans="1:8" ht="18.95" customHeight="1">
      <c r="A171" s="4">
        <v>169</v>
      </c>
      <c r="B171" s="7" t="str">
        <f>"陈洪浩"</f>
        <v>陈洪浩</v>
      </c>
      <c r="C171" s="7" t="str">
        <f t="shared" si="25"/>
        <v>男</v>
      </c>
      <c r="D171" s="7" t="str">
        <f>"安徽阜阳"</f>
        <v>安徽阜阳</v>
      </c>
      <c r="E171" s="10">
        <v>1994.08</v>
      </c>
      <c r="F171" s="8" t="s">
        <v>160</v>
      </c>
      <c r="G171" s="7" t="str">
        <f>"2020024813"</f>
        <v>2020024813</v>
      </c>
      <c r="H171" s="13" t="s">
        <v>448</v>
      </c>
    </row>
    <row r="172" spans="1:8" ht="18.95" customHeight="1">
      <c r="A172" s="4">
        <v>170</v>
      </c>
      <c r="B172" s="7" t="str">
        <f>"吴琼"</f>
        <v>吴琼</v>
      </c>
      <c r="C172" s="7" t="str">
        <f>"女"</f>
        <v>女</v>
      </c>
      <c r="D172" s="7" t="str">
        <f>"安徽太湖"</f>
        <v>安徽太湖</v>
      </c>
      <c r="E172" s="10">
        <v>1992.06</v>
      </c>
      <c r="F172" s="8" t="s">
        <v>130</v>
      </c>
      <c r="G172" s="7" t="str">
        <f>"2020020820"</f>
        <v>2020020820</v>
      </c>
      <c r="H172" s="13" t="s">
        <v>448</v>
      </c>
    </row>
    <row r="173" spans="1:8" ht="18.95" customHeight="1">
      <c r="A173" s="4">
        <v>171</v>
      </c>
      <c r="B173" s="7" t="str">
        <f>"袁明杰"</f>
        <v>袁明杰</v>
      </c>
      <c r="C173" s="7" t="str">
        <f>"男"</f>
        <v>男</v>
      </c>
      <c r="D173" s="7" t="str">
        <f>"安徽阜阳"</f>
        <v>安徽阜阳</v>
      </c>
      <c r="E173" s="10">
        <v>1994.08</v>
      </c>
      <c r="F173" s="8" t="s">
        <v>88</v>
      </c>
      <c r="G173" s="7" t="str">
        <f>"2020044914"</f>
        <v>2020044914</v>
      </c>
      <c r="H173" s="13" t="s">
        <v>448</v>
      </c>
    </row>
    <row r="174" spans="1:8" ht="18.95" customHeight="1">
      <c r="A174" s="4">
        <v>172</v>
      </c>
      <c r="B174" s="7" t="str">
        <f>"毛健杰"</f>
        <v>毛健杰</v>
      </c>
      <c r="C174" s="7" t="str">
        <f>"男"</f>
        <v>男</v>
      </c>
      <c r="D174" s="7" t="s">
        <v>447</v>
      </c>
      <c r="E174" s="10">
        <v>1996.06</v>
      </c>
      <c r="F174" s="8" t="s">
        <v>182</v>
      </c>
      <c r="G174" s="7" t="str">
        <f>"2020041801"</f>
        <v>2020041801</v>
      </c>
      <c r="H174" s="13" t="s">
        <v>448</v>
      </c>
    </row>
    <row r="175" spans="1:8" s="2" customFormat="1" ht="18.95" customHeight="1">
      <c r="A175" s="4">
        <v>173</v>
      </c>
      <c r="B175" s="7" t="s">
        <v>201</v>
      </c>
      <c r="C175" s="7" t="s">
        <v>185</v>
      </c>
      <c r="D175" s="7" t="s">
        <v>450</v>
      </c>
      <c r="E175" s="10">
        <v>1989.05</v>
      </c>
      <c r="F175" s="8" t="s">
        <v>100</v>
      </c>
      <c r="G175" s="7" t="s">
        <v>200</v>
      </c>
      <c r="H175" s="13" t="s">
        <v>448</v>
      </c>
    </row>
    <row r="176" spans="1:8" ht="18.95" customHeight="1">
      <c r="A176" s="4">
        <v>174</v>
      </c>
      <c r="B176" s="7" t="str">
        <f>"马英杰"</f>
        <v>马英杰</v>
      </c>
      <c r="C176" s="7" t="str">
        <f>"女"</f>
        <v>女</v>
      </c>
      <c r="D176" s="7" t="str">
        <f t="shared" ref="D176:D177" si="30">"安徽淮北"</f>
        <v>安徽淮北</v>
      </c>
      <c r="E176" s="10">
        <v>1998.04</v>
      </c>
      <c r="F176" s="8" t="s">
        <v>171</v>
      </c>
      <c r="G176" s="7" t="str">
        <f>"2020042804"</f>
        <v>2020042804</v>
      </c>
      <c r="H176" s="13" t="s">
        <v>448</v>
      </c>
    </row>
    <row r="177" spans="1:8" ht="18.95" customHeight="1">
      <c r="A177" s="4">
        <v>175</v>
      </c>
      <c r="B177" s="7" t="str">
        <f>"单量"</f>
        <v>单量</v>
      </c>
      <c r="C177" s="7" t="str">
        <f>"男"</f>
        <v>男</v>
      </c>
      <c r="D177" s="7" t="str">
        <f t="shared" si="30"/>
        <v>安徽淮北</v>
      </c>
      <c r="E177" s="10">
        <v>1995.04</v>
      </c>
      <c r="F177" s="8" t="s">
        <v>175</v>
      </c>
      <c r="G177" s="7" t="str">
        <f>"2020023730"</f>
        <v>2020023730</v>
      </c>
      <c r="H177" s="13" t="s">
        <v>448</v>
      </c>
    </row>
    <row r="178" spans="1:8" ht="18.95" customHeight="1">
      <c r="A178" s="4">
        <v>176</v>
      </c>
      <c r="B178" s="7" t="str">
        <f>"何天宝"</f>
        <v>何天宝</v>
      </c>
      <c r="C178" s="7" t="str">
        <f>"男"</f>
        <v>男</v>
      </c>
      <c r="D178" s="7" t="str">
        <f>"安徽南陵"</f>
        <v>安徽南陵</v>
      </c>
      <c r="E178" s="10">
        <v>1997.11</v>
      </c>
      <c r="F178" s="8" t="s">
        <v>78</v>
      </c>
      <c r="G178" s="7" t="str">
        <f>"2020024503"</f>
        <v>2020024503</v>
      </c>
      <c r="H178" s="13" t="s">
        <v>451</v>
      </c>
    </row>
    <row r="179" spans="1:8" ht="18.95" customHeight="1">
      <c r="A179" s="4">
        <v>177</v>
      </c>
      <c r="B179" s="7" t="str">
        <f>"陈晓文"</f>
        <v>陈晓文</v>
      </c>
      <c r="C179" s="7" t="str">
        <f>"女"</f>
        <v>女</v>
      </c>
      <c r="D179" s="7" t="str">
        <f>"安徽利辛"</f>
        <v>安徽利辛</v>
      </c>
      <c r="E179" s="10">
        <v>1995.08</v>
      </c>
      <c r="F179" s="8" t="s">
        <v>78</v>
      </c>
      <c r="G179" s="7" t="str">
        <f>"2020024325"</f>
        <v>2020024325</v>
      </c>
      <c r="H179" s="13" t="s">
        <v>451</v>
      </c>
    </row>
    <row r="180" spans="1:8" ht="18.95" customHeight="1">
      <c r="A180" s="4">
        <v>178</v>
      </c>
      <c r="B180" s="7" t="str">
        <f>"沈勇"</f>
        <v>沈勇</v>
      </c>
      <c r="C180" s="7" t="str">
        <f>"男"</f>
        <v>男</v>
      </c>
      <c r="D180" s="7" t="str">
        <f>"安徽霍邱"</f>
        <v>安徽霍邱</v>
      </c>
      <c r="E180" s="10">
        <v>1996.09</v>
      </c>
      <c r="F180" s="8" t="s">
        <v>169</v>
      </c>
      <c r="G180" s="7" t="str">
        <f>"2020022221"</f>
        <v>2020022221</v>
      </c>
      <c r="H180" s="13" t="s">
        <v>451</v>
      </c>
    </row>
    <row r="181" spans="1:8" ht="18.95" customHeight="1">
      <c r="A181" s="4">
        <v>179</v>
      </c>
      <c r="B181" s="7" t="str">
        <f>"韦韬"</f>
        <v>韦韬</v>
      </c>
      <c r="C181" s="7" t="str">
        <f>"男"</f>
        <v>男</v>
      </c>
      <c r="D181" s="7" t="s">
        <v>447</v>
      </c>
      <c r="E181" s="10" t="s">
        <v>452</v>
      </c>
      <c r="F181" s="8" t="s">
        <v>105</v>
      </c>
      <c r="G181" s="7" t="str">
        <f>"2020030217"</f>
        <v>2020030217</v>
      </c>
      <c r="H181" s="13" t="s">
        <v>453</v>
      </c>
    </row>
    <row r="182" spans="1:8" ht="18.95" customHeight="1">
      <c r="A182" s="4">
        <v>180</v>
      </c>
      <c r="B182" s="7" t="str">
        <f>"陈雨霁"</f>
        <v>陈雨霁</v>
      </c>
      <c r="C182" s="7" t="str">
        <f>"男"</f>
        <v>男</v>
      </c>
      <c r="D182" s="7" t="str">
        <f>"安徽明光"</f>
        <v>安徽明光</v>
      </c>
      <c r="E182" s="10" t="s">
        <v>454</v>
      </c>
      <c r="F182" s="8" t="s">
        <v>183</v>
      </c>
      <c r="G182" s="7" t="str">
        <f>"2020042504"</f>
        <v>2020042504</v>
      </c>
      <c r="H182" s="13" t="s">
        <v>453</v>
      </c>
    </row>
    <row r="183" spans="1:8" ht="18.95" customHeight="1">
      <c r="A183" s="4">
        <v>181</v>
      </c>
      <c r="B183" s="7" t="str">
        <f>"王雨婷"</f>
        <v>王雨婷</v>
      </c>
      <c r="C183" s="7" t="str">
        <f>"女"</f>
        <v>女</v>
      </c>
      <c r="D183" s="7" t="str">
        <f t="shared" ref="D183" si="31">"安徽淮北"</f>
        <v>安徽淮北</v>
      </c>
      <c r="E183" s="10" t="s">
        <v>455</v>
      </c>
      <c r="F183" s="8" t="s">
        <v>161</v>
      </c>
      <c r="G183" s="7" t="str">
        <f>"2020043606"</f>
        <v>2020043606</v>
      </c>
      <c r="H183" s="12" t="s">
        <v>302</v>
      </c>
    </row>
    <row r="184" spans="1:8" ht="18.95" customHeight="1">
      <c r="A184" s="4">
        <v>182</v>
      </c>
      <c r="B184" s="7" t="str">
        <f>" 李政启"</f>
        <v xml:space="preserve"> 李政启</v>
      </c>
      <c r="C184" s="7" t="str">
        <f>"男"</f>
        <v>男</v>
      </c>
      <c r="D184" s="7" t="str">
        <f>"安徽砀山"</f>
        <v>安徽砀山</v>
      </c>
      <c r="E184" s="10" t="s">
        <v>456</v>
      </c>
      <c r="F184" s="8" t="s">
        <v>30</v>
      </c>
      <c r="G184" s="7" t="str">
        <f>"2020030911"</f>
        <v>2020030911</v>
      </c>
      <c r="H184" s="12" t="s">
        <v>303</v>
      </c>
    </row>
    <row r="185" spans="1:8" ht="18.95" customHeight="1">
      <c r="A185" s="4">
        <v>183</v>
      </c>
      <c r="B185" s="7" t="str">
        <f>"祁春利"</f>
        <v>祁春利</v>
      </c>
      <c r="C185" s="7" t="str">
        <f>"男"</f>
        <v>男</v>
      </c>
      <c r="D185" s="7" t="str">
        <f t="shared" ref="D185" si="32">"安徽濉溪"</f>
        <v>安徽濉溪</v>
      </c>
      <c r="E185" s="10" t="s">
        <v>456</v>
      </c>
      <c r="F185" s="8" t="s">
        <v>81</v>
      </c>
      <c r="G185" s="7" t="str">
        <f>"2020011805"</f>
        <v>2020011805</v>
      </c>
      <c r="H185" s="12" t="s">
        <v>304</v>
      </c>
    </row>
    <row r="186" spans="1:8" ht="36.75" customHeight="1">
      <c r="A186" s="4">
        <v>184</v>
      </c>
      <c r="B186" s="7" t="str">
        <f>"刘贝贝"</f>
        <v>刘贝贝</v>
      </c>
      <c r="C186" s="7" t="str">
        <f>"男"</f>
        <v>男</v>
      </c>
      <c r="D186" s="7" t="str">
        <f t="shared" ref="D186:D189" si="33">"安徽淮北"</f>
        <v>安徽淮北</v>
      </c>
      <c r="E186" s="10" t="s">
        <v>457</v>
      </c>
      <c r="F186" s="8" t="s">
        <v>90</v>
      </c>
      <c r="G186" s="7" t="str">
        <f>"2020042719"</f>
        <v>2020042719</v>
      </c>
      <c r="H186" s="12" t="s">
        <v>305</v>
      </c>
    </row>
    <row r="187" spans="1:8" ht="36.75" customHeight="1">
      <c r="A187" s="4">
        <v>185</v>
      </c>
      <c r="B187" s="7" t="str">
        <f>"赵明明"</f>
        <v>赵明明</v>
      </c>
      <c r="C187" s="7" t="str">
        <f>"男"</f>
        <v>男</v>
      </c>
      <c r="D187" s="7" t="str">
        <f>"安徽淮北"</f>
        <v>安徽淮北</v>
      </c>
      <c r="E187" s="10" t="s">
        <v>458</v>
      </c>
      <c r="F187" s="8" t="s">
        <v>19</v>
      </c>
      <c r="G187" s="7" t="str">
        <f>"2020041917"</f>
        <v>2020041917</v>
      </c>
      <c r="H187" s="13" t="s">
        <v>459</v>
      </c>
    </row>
    <row r="188" spans="1:8" ht="36" customHeight="1">
      <c r="A188" s="4">
        <v>186</v>
      </c>
      <c r="B188" s="7" t="str">
        <f>"周慧黎"</f>
        <v>周慧黎</v>
      </c>
      <c r="C188" s="7" t="str">
        <f>"女"</f>
        <v>女</v>
      </c>
      <c r="D188" s="7" t="str">
        <f t="shared" si="33"/>
        <v>安徽淮北</v>
      </c>
      <c r="E188" s="10" t="s">
        <v>460</v>
      </c>
      <c r="F188" s="8" t="s">
        <v>19</v>
      </c>
      <c r="G188" s="7" t="str">
        <f>"2020012829"</f>
        <v>2020012829</v>
      </c>
      <c r="H188" s="13" t="s">
        <v>459</v>
      </c>
    </row>
    <row r="189" spans="1:8" ht="18.95" customHeight="1">
      <c r="A189" s="4">
        <v>187</v>
      </c>
      <c r="B189" s="7" t="str">
        <f>"曹振学"</f>
        <v>曹振学</v>
      </c>
      <c r="C189" s="7" t="str">
        <f>"男"</f>
        <v>男</v>
      </c>
      <c r="D189" s="7" t="str">
        <f t="shared" si="33"/>
        <v>安徽淮北</v>
      </c>
      <c r="E189" s="10" t="s">
        <v>461</v>
      </c>
      <c r="F189" s="8" t="s">
        <v>53</v>
      </c>
      <c r="G189" s="7" t="str">
        <f>"2020031802"</f>
        <v>2020031802</v>
      </c>
      <c r="H189" s="12" t="s">
        <v>306</v>
      </c>
    </row>
    <row r="190" spans="1:8" ht="37.5" customHeight="1">
      <c r="A190" s="4">
        <v>188</v>
      </c>
      <c r="B190" s="7" t="str">
        <f>"张庆彬"</f>
        <v>张庆彬</v>
      </c>
      <c r="C190" s="7" t="str">
        <f>"男"</f>
        <v>男</v>
      </c>
      <c r="D190" s="7" t="str">
        <f>"安徽阜南"</f>
        <v>安徽阜南</v>
      </c>
      <c r="E190" s="10" t="s">
        <v>461</v>
      </c>
      <c r="F190" s="8" t="s">
        <v>55</v>
      </c>
      <c r="G190" s="7" t="str">
        <f>"2020021016"</f>
        <v>2020021016</v>
      </c>
      <c r="H190" s="12" t="s">
        <v>307</v>
      </c>
    </row>
    <row r="191" spans="1:8" ht="36" customHeight="1">
      <c r="A191" s="4">
        <v>189</v>
      </c>
      <c r="B191" s="7" t="str">
        <f>"吴同辉"</f>
        <v>吴同辉</v>
      </c>
      <c r="C191" s="7" t="str">
        <f>"男"</f>
        <v>男</v>
      </c>
      <c r="D191" s="7" t="str">
        <f t="shared" ref="D191:D192" si="34">"安徽淮北"</f>
        <v>安徽淮北</v>
      </c>
      <c r="E191" s="10" t="s">
        <v>462</v>
      </c>
      <c r="F191" s="8" t="s">
        <v>77</v>
      </c>
      <c r="G191" s="7" t="str">
        <f>"2020041211"</f>
        <v>2020041211</v>
      </c>
      <c r="H191" s="13" t="s">
        <v>308</v>
      </c>
    </row>
    <row r="192" spans="1:8" ht="33" customHeight="1">
      <c r="A192" s="4">
        <v>190</v>
      </c>
      <c r="B192" s="7" t="str">
        <f>"祖军号"</f>
        <v>祖军号</v>
      </c>
      <c r="C192" s="7" t="str">
        <f>"男"</f>
        <v>男</v>
      </c>
      <c r="D192" s="7" t="str">
        <f t="shared" si="34"/>
        <v>安徽淮北</v>
      </c>
      <c r="E192" s="10" t="s">
        <v>463</v>
      </c>
      <c r="F192" s="8" t="s">
        <v>89</v>
      </c>
      <c r="G192" s="7" t="str">
        <f>"2020044025"</f>
        <v>2020044025</v>
      </c>
      <c r="H192" s="13" t="s">
        <v>308</v>
      </c>
    </row>
    <row r="193" spans="1:8" ht="18.95" customHeight="1">
      <c r="A193" s="4">
        <v>191</v>
      </c>
      <c r="B193" s="7" t="str">
        <f>"闫亚博"</f>
        <v>闫亚博</v>
      </c>
      <c r="C193" s="7" t="str">
        <f>"男"</f>
        <v>男</v>
      </c>
      <c r="D193" s="7" t="str">
        <f>"河南登封"</f>
        <v>河南登封</v>
      </c>
      <c r="E193" s="10" t="s">
        <v>464</v>
      </c>
      <c r="F193" s="8" t="s">
        <v>95</v>
      </c>
      <c r="G193" s="7" t="str">
        <f>"2020043602"</f>
        <v>2020043602</v>
      </c>
      <c r="H193" s="13" t="s">
        <v>309</v>
      </c>
    </row>
    <row r="194" spans="1:8" ht="18.95" customHeight="1">
      <c r="A194" s="4">
        <v>192</v>
      </c>
      <c r="B194" s="7" t="str">
        <f>"涂德意"</f>
        <v>涂德意</v>
      </c>
      <c r="C194" s="7" t="str">
        <f>"女"</f>
        <v>女</v>
      </c>
      <c r="D194" s="7" t="str">
        <f>"安徽舒城"</f>
        <v>安徽舒城</v>
      </c>
      <c r="E194" s="10" t="s">
        <v>465</v>
      </c>
      <c r="F194" s="8" t="s">
        <v>95</v>
      </c>
      <c r="G194" s="7" t="str">
        <f>"2020010924"</f>
        <v>2020010924</v>
      </c>
      <c r="H194" s="13" t="s">
        <v>309</v>
      </c>
    </row>
    <row r="195" spans="1:8" s="2" customFormat="1" ht="18.95" customHeight="1">
      <c r="A195" s="4">
        <v>193</v>
      </c>
      <c r="B195" s="7" t="s">
        <v>213</v>
      </c>
      <c r="C195" s="7" t="s">
        <v>207</v>
      </c>
      <c r="D195" s="7" t="s">
        <v>466</v>
      </c>
      <c r="E195" s="10" t="s">
        <v>467</v>
      </c>
      <c r="F195" s="8" t="s">
        <v>95</v>
      </c>
      <c r="G195" s="7" t="s">
        <v>212</v>
      </c>
      <c r="H195" s="13" t="s">
        <v>309</v>
      </c>
    </row>
    <row r="196" spans="1:8" ht="18.95" customHeight="1">
      <c r="A196" s="4">
        <v>194</v>
      </c>
      <c r="B196" s="7" t="str">
        <f>"孙晓琪"</f>
        <v>孙晓琪</v>
      </c>
      <c r="C196" s="7" t="str">
        <f>"女"</f>
        <v>女</v>
      </c>
      <c r="D196" s="7" t="s">
        <v>468</v>
      </c>
      <c r="E196" s="10" t="s">
        <v>469</v>
      </c>
      <c r="F196" s="8" t="s">
        <v>147</v>
      </c>
      <c r="G196" s="7" t="str">
        <f>"2020023311"</f>
        <v>2020023311</v>
      </c>
      <c r="H196" s="13" t="s">
        <v>309</v>
      </c>
    </row>
    <row r="197" spans="1:8" ht="18.95" customHeight="1">
      <c r="A197" s="4">
        <v>195</v>
      </c>
      <c r="B197" s="7" t="str">
        <f>"曹孟元"</f>
        <v>曹孟元</v>
      </c>
      <c r="C197" s="7" t="str">
        <f>"女"</f>
        <v>女</v>
      </c>
      <c r="D197" s="7" t="str">
        <f t="shared" ref="D197" si="35">"安徽淮北"</f>
        <v>安徽淮北</v>
      </c>
      <c r="E197" s="10" t="s">
        <v>470</v>
      </c>
      <c r="F197" s="8" t="s">
        <v>61</v>
      </c>
      <c r="G197" s="7" t="str">
        <f>"2020042829"</f>
        <v>2020042829</v>
      </c>
      <c r="H197" s="13" t="s">
        <v>309</v>
      </c>
    </row>
    <row r="198" spans="1:8" ht="18.95" customHeight="1">
      <c r="A198" s="4">
        <v>196</v>
      </c>
      <c r="B198" s="7" t="str">
        <f>"尚振天"</f>
        <v>尚振天</v>
      </c>
      <c r="C198" s="7" t="str">
        <f>"男"</f>
        <v>男</v>
      </c>
      <c r="D198" s="7" t="str">
        <f t="shared" ref="D198:D199" si="36">"安徽萧县"</f>
        <v>安徽萧县</v>
      </c>
      <c r="E198" s="10" t="s">
        <v>471</v>
      </c>
      <c r="F198" s="8" t="s">
        <v>141</v>
      </c>
      <c r="G198" s="7" t="str">
        <f>"2020040207"</f>
        <v>2020040207</v>
      </c>
      <c r="H198" s="13" t="s">
        <v>309</v>
      </c>
    </row>
    <row r="199" spans="1:8" ht="18.95" customHeight="1">
      <c r="A199" s="4">
        <v>197</v>
      </c>
      <c r="B199" s="7" t="str">
        <f>"蔡松"</f>
        <v>蔡松</v>
      </c>
      <c r="C199" s="7" t="str">
        <f>"男"</f>
        <v>男</v>
      </c>
      <c r="D199" s="7" t="str">
        <f t="shared" si="36"/>
        <v>安徽萧县</v>
      </c>
      <c r="E199" s="10" t="s">
        <v>472</v>
      </c>
      <c r="F199" s="8" t="s">
        <v>106</v>
      </c>
      <c r="G199" s="7" t="str">
        <f>"2020010110"</f>
        <v>2020010110</v>
      </c>
      <c r="H199" s="13" t="s">
        <v>310</v>
      </c>
    </row>
    <row r="200" spans="1:8" ht="18.95" customHeight="1">
      <c r="A200" s="4">
        <v>198</v>
      </c>
      <c r="B200" s="7" t="str">
        <f>"郑重"</f>
        <v>郑重</v>
      </c>
      <c r="C200" s="7" t="str">
        <f>"男"</f>
        <v>男</v>
      </c>
      <c r="D200" s="7" t="str">
        <f t="shared" ref="D200" si="37">"安徽萧县"</f>
        <v>安徽萧县</v>
      </c>
      <c r="E200" s="10" t="s">
        <v>473</v>
      </c>
      <c r="F200" s="8" t="s">
        <v>106</v>
      </c>
      <c r="G200" s="7" t="str">
        <f>"2020031320"</f>
        <v>2020031320</v>
      </c>
      <c r="H200" s="13" t="s">
        <v>310</v>
      </c>
    </row>
    <row r="201" spans="1:8" ht="18.95" customHeight="1">
      <c r="A201" s="4">
        <v>199</v>
      </c>
      <c r="B201" s="7" t="str">
        <f>"陈晨"</f>
        <v>陈晨</v>
      </c>
      <c r="C201" s="7" t="str">
        <f>"女"</f>
        <v>女</v>
      </c>
      <c r="D201" s="7" t="str">
        <f>"安徽五河"</f>
        <v>安徽五河</v>
      </c>
      <c r="E201" s="10" t="s">
        <v>467</v>
      </c>
      <c r="F201" s="8" t="s">
        <v>106</v>
      </c>
      <c r="G201" s="7" t="str">
        <f>"2020013820"</f>
        <v>2020013820</v>
      </c>
      <c r="H201" s="13" t="s">
        <v>311</v>
      </c>
    </row>
    <row r="202" spans="1:8" ht="18.95" customHeight="1">
      <c r="A202" s="4">
        <v>200</v>
      </c>
      <c r="B202" s="7" t="str">
        <f>"耿惠"</f>
        <v>耿惠</v>
      </c>
      <c r="C202" s="7" t="str">
        <f>"女"</f>
        <v>女</v>
      </c>
      <c r="D202" s="7" t="str">
        <f t="shared" ref="D202" si="38">"安徽濉溪"</f>
        <v>安徽濉溪</v>
      </c>
      <c r="E202" s="10" t="s">
        <v>474</v>
      </c>
      <c r="F202" s="8" t="s">
        <v>176</v>
      </c>
      <c r="G202" s="7" t="str">
        <f>"2020021123"</f>
        <v>2020021123</v>
      </c>
      <c r="H202" s="13" t="s">
        <v>311</v>
      </c>
    </row>
    <row r="203" spans="1:8" ht="18.95" customHeight="1">
      <c r="A203" s="4">
        <v>201</v>
      </c>
      <c r="B203" s="7" t="str">
        <f>"曹帅"</f>
        <v>曹帅</v>
      </c>
      <c r="C203" s="7" t="str">
        <f>"男"</f>
        <v>男</v>
      </c>
      <c r="D203" s="7" t="str">
        <f>"江苏徐州"</f>
        <v>江苏徐州</v>
      </c>
      <c r="E203" s="10" t="s">
        <v>475</v>
      </c>
      <c r="F203" s="8" t="s">
        <v>91</v>
      </c>
      <c r="G203" s="7" t="str">
        <f>"2020012626"</f>
        <v>2020012626</v>
      </c>
      <c r="H203" s="13" t="s">
        <v>311</v>
      </c>
    </row>
    <row r="204" spans="1:8" ht="18.95" customHeight="1">
      <c r="A204" s="4">
        <v>202</v>
      </c>
      <c r="B204" s="7" t="str">
        <f>"沈习习"</f>
        <v>沈习习</v>
      </c>
      <c r="C204" s="7" t="str">
        <f>"男"</f>
        <v>男</v>
      </c>
      <c r="D204" s="7" t="str">
        <f>"安徽泗县"</f>
        <v>安徽泗县</v>
      </c>
      <c r="E204" s="10" t="s">
        <v>474</v>
      </c>
      <c r="F204" s="8" t="s">
        <v>32</v>
      </c>
      <c r="G204" s="7" t="str">
        <f>"2020022509"</f>
        <v>2020022509</v>
      </c>
      <c r="H204" s="13" t="s">
        <v>311</v>
      </c>
    </row>
    <row r="205" spans="1:8" ht="18.95" customHeight="1">
      <c r="A205" s="4">
        <v>203</v>
      </c>
      <c r="B205" s="7" t="str">
        <f>"丁文"</f>
        <v>丁文</v>
      </c>
      <c r="C205" s="7" t="str">
        <f>"女"</f>
        <v>女</v>
      </c>
      <c r="D205" s="7" t="str">
        <f>"安徽淮北"</f>
        <v>安徽淮北</v>
      </c>
      <c r="E205" s="10" t="s">
        <v>476</v>
      </c>
      <c r="F205" s="8" t="s">
        <v>32</v>
      </c>
      <c r="G205" s="7" t="str">
        <f>"2020033717"</f>
        <v>2020033717</v>
      </c>
      <c r="H205" s="13" t="s">
        <v>311</v>
      </c>
    </row>
    <row r="206" spans="1:8" ht="18.95" customHeight="1">
      <c r="A206" s="4">
        <v>204</v>
      </c>
      <c r="B206" s="7" t="str">
        <f>"周聃"</f>
        <v>周聃</v>
      </c>
      <c r="C206" s="7" t="str">
        <f>"男"</f>
        <v>男</v>
      </c>
      <c r="D206" s="7" t="str">
        <f t="shared" ref="D206" si="39">"安徽濉溪"</f>
        <v>安徽濉溪</v>
      </c>
      <c r="E206" s="10" t="s">
        <v>477</v>
      </c>
      <c r="F206" s="8" t="s">
        <v>33</v>
      </c>
      <c r="G206" s="7" t="str">
        <f>"2020022818"</f>
        <v>2020022818</v>
      </c>
      <c r="H206" s="13" t="s">
        <v>311</v>
      </c>
    </row>
    <row r="207" spans="1:8" ht="18.95" customHeight="1">
      <c r="A207" s="4">
        <v>205</v>
      </c>
      <c r="B207" s="7" t="str">
        <f>"徐启航"</f>
        <v>徐启航</v>
      </c>
      <c r="C207" s="7" t="str">
        <f>"男"</f>
        <v>男</v>
      </c>
      <c r="D207" s="7" t="str">
        <f>"山东临沭"</f>
        <v>山东临沭</v>
      </c>
      <c r="E207" s="10" t="s">
        <v>475</v>
      </c>
      <c r="F207" s="8" t="s">
        <v>33</v>
      </c>
      <c r="G207" s="7" t="str">
        <f>"2020047423"</f>
        <v>2020047423</v>
      </c>
      <c r="H207" s="13" t="s">
        <v>311</v>
      </c>
    </row>
    <row r="208" spans="1:8" ht="18.95" customHeight="1">
      <c r="A208" s="4">
        <v>206</v>
      </c>
      <c r="B208" s="7" t="str">
        <f>"刘培林"</f>
        <v>刘培林</v>
      </c>
      <c r="C208" s="7" t="str">
        <f>"女"</f>
        <v>女</v>
      </c>
      <c r="D208" s="7" t="str">
        <f t="shared" ref="D208" si="40">"安徽淮北"</f>
        <v>安徽淮北</v>
      </c>
      <c r="E208" s="10" t="s">
        <v>478</v>
      </c>
      <c r="F208" s="8" t="s">
        <v>76</v>
      </c>
      <c r="G208" s="7" t="str">
        <f>"2020045708"</f>
        <v>2020045708</v>
      </c>
      <c r="H208" s="12" t="s">
        <v>312</v>
      </c>
    </row>
    <row r="209" spans="1:8" ht="18.95" customHeight="1">
      <c r="A209" s="4">
        <v>207</v>
      </c>
      <c r="B209" s="7" t="str">
        <f>"武晶晶"</f>
        <v>武晶晶</v>
      </c>
      <c r="C209" s="7" t="str">
        <f>"女"</f>
        <v>女</v>
      </c>
      <c r="D209" s="7" t="str">
        <f>"安徽砀山"</f>
        <v>安徽砀山</v>
      </c>
      <c r="E209" s="10" t="s">
        <v>479</v>
      </c>
      <c r="F209" s="8" t="s">
        <v>132</v>
      </c>
      <c r="G209" s="7" t="str">
        <f>"2020012112"</f>
        <v>2020012112</v>
      </c>
      <c r="H209" s="13" t="s">
        <v>313</v>
      </c>
    </row>
    <row r="210" spans="1:8" ht="18.95" customHeight="1">
      <c r="A210" s="4">
        <v>208</v>
      </c>
      <c r="B210" s="7" t="str">
        <f>"曾妍"</f>
        <v>曾妍</v>
      </c>
      <c r="C210" s="7" t="str">
        <f>"女"</f>
        <v>女</v>
      </c>
      <c r="D210" s="7" t="str">
        <f>"安徽淮北"</f>
        <v>安徽淮北</v>
      </c>
      <c r="E210" s="10" t="s">
        <v>480</v>
      </c>
      <c r="F210" s="8" t="s">
        <v>94</v>
      </c>
      <c r="G210" s="7" t="str">
        <f>"2020033914"</f>
        <v>2020033914</v>
      </c>
      <c r="H210" s="13" t="s">
        <v>313</v>
      </c>
    </row>
    <row r="211" spans="1:8" ht="18.95" customHeight="1">
      <c r="A211" s="4">
        <v>209</v>
      </c>
      <c r="B211" s="7" t="str">
        <f>"聂道彬"</f>
        <v>聂道彬</v>
      </c>
      <c r="C211" s="7" t="str">
        <f>"男"</f>
        <v>男</v>
      </c>
      <c r="D211" s="7" t="str">
        <f>"江苏徐州"</f>
        <v>江苏徐州</v>
      </c>
      <c r="E211" s="10" t="s">
        <v>481</v>
      </c>
      <c r="F211" s="8" t="s">
        <v>102</v>
      </c>
      <c r="G211" s="7" t="str">
        <f>"2020046126"</f>
        <v>2020046126</v>
      </c>
      <c r="H211" s="13" t="s">
        <v>313</v>
      </c>
    </row>
    <row r="212" spans="1:8" ht="18.95" customHeight="1">
      <c r="A212" s="4">
        <v>210</v>
      </c>
      <c r="B212" s="7" t="str">
        <f>"张恒"</f>
        <v>张恒</v>
      </c>
      <c r="C212" s="7" t="str">
        <f>"男"</f>
        <v>男</v>
      </c>
      <c r="D212" s="7" t="str">
        <f t="shared" ref="D212" si="41">"安徽淮北"</f>
        <v>安徽淮北</v>
      </c>
      <c r="E212" s="10" t="s">
        <v>482</v>
      </c>
      <c r="F212" s="8" t="s">
        <v>102</v>
      </c>
      <c r="G212" s="7" t="str">
        <f>"2020042203"</f>
        <v>2020042203</v>
      </c>
      <c r="H212" s="13" t="s">
        <v>313</v>
      </c>
    </row>
    <row r="213" spans="1:8" ht="18.95" customHeight="1">
      <c r="A213" s="4">
        <v>211</v>
      </c>
      <c r="B213" s="7" t="str">
        <f>"余生"</f>
        <v>余生</v>
      </c>
      <c r="C213" s="7" t="str">
        <f>"男"</f>
        <v>男</v>
      </c>
      <c r="D213" s="7" t="str">
        <f>"安徽颍上"</f>
        <v>安徽颍上</v>
      </c>
      <c r="E213" s="10" t="s">
        <v>483</v>
      </c>
      <c r="F213" s="8" t="s">
        <v>74</v>
      </c>
      <c r="G213" s="7" t="str">
        <f>"2020010119"</f>
        <v>2020010119</v>
      </c>
      <c r="H213" s="13" t="s">
        <v>313</v>
      </c>
    </row>
    <row r="214" spans="1:8" ht="18.95" customHeight="1">
      <c r="A214" s="4">
        <v>212</v>
      </c>
      <c r="B214" s="7" t="str">
        <f>"李宇峰"</f>
        <v>李宇峰</v>
      </c>
      <c r="C214" s="7" t="str">
        <f>"男"</f>
        <v>男</v>
      </c>
      <c r="D214" s="7" t="str">
        <f t="shared" ref="D214" si="42">"安徽淮北"</f>
        <v>安徽淮北</v>
      </c>
      <c r="E214" s="10" t="s">
        <v>484</v>
      </c>
      <c r="F214" s="8" t="s">
        <v>75</v>
      </c>
      <c r="G214" s="7" t="str">
        <f>"2020045303"</f>
        <v>2020045303</v>
      </c>
      <c r="H214" s="13" t="s">
        <v>313</v>
      </c>
    </row>
    <row r="215" spans="1:8" ht="18.95" customHeight="1">
      <c r="A215" s="4">
        <v>213</v>
      </c>
      <c r="B215" s="7" t="str">
        <f>"杨琛宇"</f>
        <v>杨琛宇</v>
      </c>
      <c r="C215" s="7" t="str">
        <f>"男"</f>
        <v>男</v>
      </c>
      <c r="D215" s="7" t="str">
        <f>"安徽砀山"</f>
        <v>安徽砀山</v>
      </c>
      <c r="E215" s="10" t="s">
        <v>485</v>
      </c>
      <c r="F215" s="8" t="s">
        <v>75</v>
      </c>
      <c r="G215" s="7" t="str">
        <f>"2020045814"</f>
        <v>2020045814</v>
      </c>
      <c r="H215" s="13" t="s">
        <v>313</v>
      </c>
    </row>
    <row r="216" spans="1:8" s="2" customFormat="1" ht="18.95" customHeight="1">
      <c r="A216" s="4">
        <v>214</v>
      </c>
      <c r="B216" s="7" t="s">
        <v>203</v>
      </c>
      <c r="C216" s="7" t="s">
        <v>185</v>
      </c>
      <c r="D216" s="7" t="s">
        <v>204</v>
      </c>
      <c r="E216" s="10" t="s">
        <v>486</v>
      </c>
      <c r="F216" s="8" t="s">
        <v>69</v>
      </c>
      <c r="G216" s="7" t="s">
        <v>202</v>
      </c>
      <c r="H216" s="13" t="s">
        <v>313</v>
      </c>
    </row>
    <row r="217" spans="1:8" ht="18.95" customHeight="1">
      <c r="A217" s="4">
        <v>215</v>
      </c>
      <c r="B217" s="7" t="str">
        <f>"韩如冰"</f>
        <v>韩如冰</v>
      </c>
      <c r="C217" s="7" t="str">
        <f>"女"</f>
        <v>女</v>
      </c>
      <c r="D217" s="7" t="str">
        <f>"安徽涡阳"</f>
        <v>安徽涡阳</v>
      </c>
      <c r="E217" s="10" t="s">
        <v>487</v>
      </c>
      <c r="F217" s="8" t="s">
        <v>144</v>
      </c>
      <c r="G217" s="7" t="str">
        <f>"2020024505"</f>
        <v>2020024505</v>
      </c>
      <c r="H217" s="12" t="s">
        <v>488</v>
      </c>
    </row>
    <row r="218" spans="1:8" ht="18.95" customHeight="1">
      <c r="A218" s="4">
        <v>216</v>
      </c>
      <c r="B218" s="7" t="str">
        <f>"许月媛"</f>
        <v>许月媛</v>
      </c>
      <c r="C218" s="7" t="str">
        <f>"女"</f>
        <v>女</v>
      </c>
      <c r="D218" s="7" t="str">
        <f t="shared" ref="D218" si="43">"安徽萧县"</f>
        <v>安徽萧县</v>
      </c>
      <c r="E218" s="10" t="s">
        <v>489</v>
      </c>
      <c r="F218" s="8" t="s">
        <v>162</v>
      </c>
      <c r="G218" s="7" t="str">
        <f>"2020041624"</f>
        <v>2020041624</v>
      </c>
      <c r="H218" s="12" t="s">
        <v>314</v>
      </c>
    </row>
    <row r="219" spans="1:8" ht="18.95" customHeight="1">
      <c r="A219" s="4">
        <v>217</v>
      </c>
      <c r="B219" s="7" t="str">
        <f>"陈梦月"</f>
        <v>陈梦月</v>
      </c>
      <c r="C219" s="7" t="str">
        <f>"女"</f>
        <v>女</v>
      </c>
      <c r="D219" s="7" t="str">
        <f t="shared" ref="D219" si="44">"安徽淮北"</f>
        <v>安徽淮北</v>
      </c>
      <c r="E219" s="10" t="s">
        <v>490</v>
      </c>
      <c r="F219" s="8" t="s">
        <v>111</v>
      </c>
      <c r="G219" s="7" t="str">
        <f>"2020040115"</f>
        <v>2020040115</v>
      </c>
      <c r="H219" s="13" t="s">
        <v>315</v>
      </c>
    </row>
    <row r="220" spans="1:8" ht="18.95" customHeight="1">
      <c r="A220" s="4">
        <v>218</v>
      </c>
      <c r="B220" s="7" t="str">
        <f>"陈静"</f>
        <v>陈静</v>
      </c>
      <c r="C220" s="7" t="str">
        <f>"女"</f>
        <v>女</v>
      </c>
      <c r="D220" s="7" t="str">
        <f>"安徽阜南"</f>
        <v>安徽阜南</v>
      </c>
      <c r="E220" s="10" t="s">
        <v>491</v>
      </c>
      <c r="F220" s="8" t="s">
        <v>177</v>
      </c>
      <c r="G220" s="7" t="str">
        <f>"2020013104"</f>
        <v>2020013104</v>
      </c>
      <c r="H220" s="13" t="s">
        <v>315</v>
      </c>
    </row>
    <row r="221" spans="1:8" ht="18.95" customHeight="1">
      <c r="A221" s="4">
        <v>219</v>
      </c>
      <c r="B221" s="7" t="str">
        <f>"尹振兴"</f>
        <v>尹振兴</v>
      </c>
      <c r="C221" s="7" t="str">
        <f>"男"</f>
        <v>男</v>
      </c>
      <c r="D221" s="7" t="str">
        <f t="shared" ref="D221" si="45">"安徽萧县"</f>
        <v>安徽萧县</v>
      </c>
      <c r="E221" s="10" t="s">
        <v>492</v>
      </c>
      <c r="F221" s="8" t="s">
        <v>14</v>
      </c>
      <c r="G221" s="7" t="str">
        <f>"2020022824"</f>
        <v>2020022824</v>
      </c>
      <c r="H221" s="13" t="s">
        <v>315</v>
      </c>
    </row>
    <row r="222" spans="1:8" ht="18.95" customHeight="1">
      <c r="A222" s="4">
        <v>220</v>
      </c>
      <c r="B222" s="7" t="str">
        <f>"黄厚礼"</f>
        <v>黄厚礼</v>
      </c>
      <c r="C222" s="7" t="str">
        <f>"男"</f>
        <v>男</v>
      </c>
      <c r="D222" s="7" t="str">
        <f>"安徽宿州"</f>
        <v>安徽宿州</v>
      </c>
      <c r="E222" s="10" t="s">
        <v>493</v>
      </c>
      <c r="F222" s="8" t="s">
        <v>170</v>
      </c>
      <c r="G222" s="7" t="str">
        <f>"2020023004"</f>
        <v>2020023004</v>
      </c>
      <c r="H222" s="12" t="s">
        <v>316</v>
      </c>
    </row>
    <row r="223" spans="1:8" ht="18.95" customHeight="1">
      <c r="A223" s="4">
        <v>221</v>
      </c>
      <c r="B223" s="7" t="str">
        <f>"刘晨"</f>
        <v>刘晨</v>
      </c>
      <c r="C223" s="7" t="str">
        <f>"女"</f>
        <v>女</v>
      </c>
      <c r="D223" s="7" t="str">
        <f>"安徽砀山"</f>
        <v>安徽砀山</v>
      </c>
      <c r="E223" s="10">
        <v>1994.12</v>
      </c>
      <c r="F223" s="8" t="s">
        <v>97</v>
      </c>
      <c r="G223" s="7" t="str">
        <f>"2020046226"</f>
        <v>2020046226</v>
      </c>
      <c r="H223" s="12" t="s">
        <v>317</v>
      </c>
    </row>
    <row r="224" spans="1:8" ht="18.95" customHeight="1">
      <c r="A224" s="4">
        <v>222</v>
      </c>
      <c r="B224" s="7" t="str">
        <f>"周星宇"</f>
        <v>周星宇</v>
      </c>
      <c r="C224" s="7" t="str">
        <f>"男"</f>
        <v>男</v>
      </c>
      <c r="D224" s="7" t="str">
        <f>"河南永城"</f>
        <v>河南永城</v>
      </c>
      <c r="E224" s="10">
        <v>1997.08</v>
      </c>
      <c r="F224" s="8" t="s">
        <v>110</v>
      </c>
      <c r="G224" s="7" t="str">
        <f>"2020040611"</f>
        <v>2020040611</v>
      </c>
      <c r="H224" s="12" t="s">
        <v>318</v>
      </c>
    </row>
    <row r="225" spans="1:8" ht="18.95" customHeight="1">
      <c r="A225" s="4">
        <v>223</v>
      </c>
      <c r="B225" s="7" t="str">
        <f>"陈倩茹"</f>
        <v>陈倩茹</v>
      </c>
      <c r="C225" s="7" t="str">
        <f>"女"</f>
        <v>女</v>
      </c>
      <c r="D225" s="7" t="str">
        <f>"安徽合肥"</f>
        <v>安徽合肥</v>
      </c>
      <c r="E225" s="10">
        <v>1997.02</v>
      </c>
      <c r="F225" s="8" t="s">
        <v>115</v>
      </c>
      <c r="G225" s="7" t="str">
        <f>"2020012818"</f>
        <v>2020012818</v>
      </c>
      <c r="H225" s="13" t="s">
        <v>494</v>
      </c>
    </row>
    <row r="226" spans="1:8" ht="18.95" customHeight="1">
      <c r="A226" s="4">
        <v>224</v>
      </c>
      <c r="B226" s="7" t="str">
        <f>"沈冠棋"</f>
        <v>沈冠棋</v>
      </c>
      <c r="C226" s="7" t="str">
        <f>"女"</f>
        <v>女</v>
      </c>
      <c r="D226" s="7" t="str">
        <f t="shared" ref="D226" si="46">"安徽淮北"</f>
        <v>安徽淮北</v>
      </c>
      <c r="E226" s="10">
        <v>1992.05</v>
      </c>
      <c r="F226" s="8" t="s">
        <v>143</v>
      </c>
      <c r="G226" s="7" t="str">
        <f>"2020033227"</f>
        <v>2020033227</v>
      </c>
      <c r="H226" s="13" t="s">
        <v>494</v>
      </c>
    </row>
    <row r="227" spans="1:8" ht="31.5" customHeight="1">
      <c r="A227" s="4">
        <v>225</v>
      </c>
      <c r="B227" s="7" t="str">
        <f>"陈沫"</f>
        <v>陈沫</v>
      </c>
      <c r="C227" s="7" t="str">
        <f>"男"</f>
        <v>男</v>
      </c>
      <c r="D227" s="7" t="str">
        <f t="shared" ref="D227:D228" si="47">"安徽淮北"</f>
        <v>安徽淮北</v>
      </c>
      <c r="E227" s="10">
        <v>1991.12</v>
      </c>
      <c r="F227" s="8" t="s">
        <v>42</v>
      </c>
      <c r="G227" s="7" t="str">
        <f>"2020042728"</f>
        <v>2020042728</v>
      </c>
      <c r="H227" s="12" t="s">
        <v>319</v>
      </c>
    </row>
    <row r="228" spans="1:8" ht="18.95" customHeight="1">
      <c r="A228" s="4">
        <v>226</v>
      </c>
      <c r="B228" s="7" t="str">
        <f>"李宜霏"</f>
        <v>李宜霏</v>
      </c>
      <c r="C228" s="7" t="str">
        <f>"女"</f>
        <v>女</v>
      </c>
      <c r="D228" s="7" t="str">
        <f t="shared" si="47"/>
        <v>安徽淮北</v>
      </c>
      <c r="E228" s="10">
        <v>1995.01</v>
      </c>
      <c r="F228" s="8" t="s">
        <v>131</v>
      </c>
      <c r="G228" s="7" t="str">
        <f>"2020022304"</f>
        <v>2020022304</v>
      </c>
      <c r="H228" s="12" t="s">
        <v>320</v>
      </c>
    </row>
    <row r="229" spans="1:8" ht="18.95" customHeight="1">
      <c r="A229" s="4">
        <v>227</v>
      </c>
      <c r="B229" s="7" t="str">
        <f>"张雨晨"</f>
        <v>张雨晨</v>
      </c>
      <c r="C229" s="7" t="str">
        <f>"男"</f>
        <v>男</v>
      </c>
      <c r="D229" s="7" t="str">
        <f t="shared" ref="D229" si="48">"安徽濉溪"</f>
        <v>安徽濉溪</v>
      </c>
      <c r="E229" s="10">
        <v>1996.02</v>
      </c>
      <c r="F229" s="8" t="s">
        <v>154</v>
      </c>
      <c r="G229" s="7" t="str">
        <f>"2020021930"</f>
        <v>2020021930</v>
      </c>
      <c r="H229" s="12" t="s">
        <v>321</v>
      </c>
    </row>
    <row r="230" spans="1:8" ht="18.95" customHeight="1">
      <c r="A230" s="4">
        <v>228</v>
      </c>
      <c r="B230" s="7" t="str">
        <f>"王平"</f>
        <v>王平</v>
      </c>
      <c r="C230" s="7" t="str">
        <f>"男"</f>
        <v>男</v>
      </c>
      <c r="D230" s="7" t="str">
        <f>"安徽怀宁"</f>
        <v>安徽怀宁</v>
      </c>
      <c r="E230" s="10">
        <v>1995.12</v>
      </c>
      <c r="F230" s="8" t="s">
        <v>146</v>
      </c>
      <c r="G230" s="7" t="str">
        <f>"2020032114"</f>
        <v>2020032114</v>
      </c>
      <c r="H230" s="13" t="s">
        <v>322</v>
      </c>
    </row>
    <row r="231" spans="1:8" ht="18.95" customHeight="1">
      <c r="A231" s="4">
        <v>229</v>
      </c>
      <c r="B231" s="7" t="str">
        <f>"方姗"</f>
        <v>方姗</v>
      </c>
      <c r="C231" s="7" t="str">
        <f>"女"</f>
        <v>女</v>
      </c>
      <c r="D231" s="7" t="str">
        <f>"安徽潜山"</f>
        <v>安徽潜山</v>
      </c>
      <c r="E231" s="10">
        <v>1994.06</v>
      </c>
      <c r="F231" s="8" t="s">
        <v>36</v>
      </c>
      <c r="G231" s="7" t="str">
        <f>"2020030303"</f>
        <v>2020030303</v>
      </c>
      <c r="H231" s="13" t="s">
        <v>322</v>
      </c>
    </row>
    <row r="232" spans="1:8" ht="18.95" customHeight="1">
      <c r="A232" s="4">
        <v>230</v>
      </c>
      <c r="B232" s="7" t="str">
        <f>"孙登峰"</f>
        <v>孙登峰</v>
      </c>
      <c r="C232" s="7" t="str">
        <f>"男"</f>
        <v>男</v>
      </c>
      <c r="D232" s="7" t="str">
        <f t="shared" ref="D232" si="49">"安徽淮北"</f>
        <v>安徽淮北</v>
      </c>
      <c r="E232" s="10">
        <v>1994.03</v>
      </c>
      <c r="F232" s="8" t="s">
        <v>99</v>
      </c>
      <c r="G232" s="7" t="str">
        <f>"2020043520"</f>
        <v>2020043520</v>
      </c>
      <c r="H232" s="12" t="s">
        <v>323</v>
      </c>
    </row>
  </sheetData>
  <mergeCells count="1">
    <mergeCell ref="A1:H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赵立功</cp:lastModifiedBy>
  <cp:lastPrinted>2021-01-23T07:40:43Z</cp:lastPrinted>
  <dcterms:created xsi:type="dcterms:W3CDTF">2020-12-16T01:50:47Z</dcterms:created>
  <dcterms:modified xsi:type="dcterms:W3CDTF">2021-01-30T07:55:24Z</dcterms:modified>
</cp:coreProperties>
</file>