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排序" sheetId="1" r:id="rId1"/>
    <sheet name="面试人员名单" sheetId="2" r:id="rId2"/>
  </sheets>
  <definedNames>
    <definedName name="_xlnm.Print_Titles" localSheetId="1">'面试人员名单'!$3:$3</definedName>
    <definedName name="_xlnm.Print_Titles" localSheetId="0">'排序'!$2:$2</definedName>
  </definedNames>
  <calcPr fullCalcOnLoad="1"/>
</workbook>
</file>

<file path=xl/sharedStrings.xml><?xml version="1.0" encoding="utf-8"?>
<sst xmlns="http://schemas.openxmlformats.org/spreadsheetml/2006/main" count="2046" uniqueCount="92">
  <si>
    <r>
      <rPr>
        <sz val="16"/>
        <rFont val="黑体"/>
        <family val="3"/>
      </rPr>
      <t>明光市事业单位公开招聘工作人员笔试成绩单</t>
    </r>
  </si>
  <si>
    <r>
      <rPr>
        <b/>
        <sz val="11"/>
        <rFont val="宋体"/>
        <family val="0"/>
      </rPr>
      <t>报考岗位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</si>
  <si>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</si>
  <si>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身份证号</t>
    </r>
  </si>
  <si>
    <r>
      <rPr>
        <b/>
        <sz val="11"/>
        <rFont val="宋体"/>
        <family val="0"/>
      </rPr>
      <t>准考证号</t>
    </r>
  </si>
  <si>
    <r>
      <rPr>
        <b/>
        <sz val="11"/>
        <color indexed="8"/>
        <rFont val="宋体"/>
        <family val="0"/>
      </rPr>
      <t>综合知识成绩</t>
    </r>
  </si>
  <si>
    <r>
      <rPr>
        <b/>
        <sz val="11"/>
        <color indexed="8"/>
        <rFont val="宋体"/>
        <family val="0"/>
      </rPr>
      <t>申论成绩</t>
    </r>
  </si>
  <si>
    <t>笔试总成绩</t>
  </si>
  <si>
    <r>
      <rPr>
        <b/>
        <sz val="11"/>
        <color indexed="8"/>
        <rFont val="宋体"/>
        <family val="0"/>
      </rPr>
      <t>备注</t>
    </r>
  </si>
  <si>
    <r>
      <t>9903001_</t>
    </r>
    <r>
      <rPr>
        <sz val="11"/>
        <rFont val="宋体"/>
        <family val="0"/>
      </rPr>
      <t>管理岗位</t>
    </r>
  </si>
  <si>
    <r>
      <rPr>
        <sz val="11"/>
        <rFont val="宋体"/>
        <family val="0"/>
      </rPr>
      <t>缺考</t>
    </r>
  </si>
  <si>
    <r>
      <t>9903003_</t>
    </r>
    <r>
      <rPr>
        <sz val="11"/>
        <rFont val="宋体"/>
        <family val="0"/>
      </rPr>
      <t>专技岗位</t>
    </r>
  </si>
  <si>
    <r>
      <t>9903004_</t>
    </r>
    <r>
      <rPr>
        <sz val="11"/>
        <rFont val="宋体"/>
        <family val="0"/>
      </rPr>
      <t>专技岗位</t>
    </r>
  </si>
  <si>
    <r>
      <t>9903005_</t>
    </r>
    <r>
      <rPr>
        <sz val="11"/>
        <rFont val="宋体"/>
        <family val="0"/>
      </rPr>
      <t>专技岗位</t>
    </r>
  </si>
  <si>
    <r>
      <t>9903006_</t>
    </r>
    <r>
      <rPr>
        <sz val="11"/>
        <rFont val="宋体"/>
        <family val="0"/>
      </rPr>
      <t>专技岗位</t>
    </r>
  </si>
  <si>
    <r>
      <t>9903007_</t>
    </r>
    <r>
      <rPr>
        <sz val="11"/>
        <rFont val="宋体"/>
        <family val="0"/>
      </rPr>
      <t>管理岗位</t>
    </r>
  </si>
  <si>
    <r>
      <t>9903008_</t>
    </r>
    <r>
      <rPr>
        <sz val="11"/>
        <rFont val="宋体"/>
        <family val="0"/>
      </rPr>
      <t>管理岗位</t>
    </r>
  </si>
  <si>
    <r>
      <t>9903010_</t>
    </r>
    <r>
      <rPr>
        <sz val="11"/>
        <rFont val="宋体"/>
        <family val="0"/>
      </rPr>
      <t>专技岗位</t>
    </r>
  </si>
  <si>
    <r>
      <t>9903011_</t>
    </r>
    <r>
      <rPr>
        <sz val="11"/>
        <rFont val="宋体"/>
        <family val="0"/>
      </rPr>
      <t>专技岗位</t>
    </r>
  </si>
  <si>
    <r>
      <t>9903012_</t>
    </r>
    <r>
      <rPr>
        <sz val="11"/>
        <rFont val="宋体"/>
        <family val="0"/>
      </rPr>
      <t>专技岗位</t>
    </r>
  </si>
  <si>
    <r>
      <t>9903013_</t>
    </r>
    <r>
      <rPr>
        <sz val="11"/>
        <rFont val="宋体"/>
        <family val="0"/>
      </rPr>
      <t>管理岗位</t>
    </r>
  </si>
  <si>
    <r>
      <t>9903014_</t>
    </r>
    <r>
      <rPr>
        <sz val="11"/>
        <rFont val="宋体"/>
        <family val="0"/>
      </rPr>
      <t>管理岗位</t>
    </r>
  </si>
  <si>
    <r>
      <t>9903015_</t>
    </r>
    <r>
      <rPr>
        <sz val="11"/>
        <rFont val="宋体"/>
        <family val="0"/>
      </rPr>
      <t>管理岗位</t>
    </r>
  </si>
  <si>
    <r>
      <t>9903016_</t>
    </r>
    <r>
      <rPr>
        <sz val="11"/>
        <rFont val="宋体"/>
        <family val="0"/>
      </rPr>
      <t>管理岗位</t>
    </r>
  </si>
  <si>
    <r>
      <t>9903017_</t>
    </r>
    <r>
      <rPr>
        <sz val="11"/>
        <rFont val="宋体"/>
        <family val="0"/>
      </rPr>
      <t>管理岗位</t>
    </r>
  </si>
  <si>
    <r>
      <t>9903018_</t>
    </r>
    <r>
      <rPr>
        <sz val="11"/>
        <rFont val="宋体"/>
        <family val="0"/>
      </rPr>
      <t>专技岗位</t>
    </r>
  </si>
  <si>
    <r>
      <t>9903019_</t>
    </r>
    <r>
      <rPr>
        <sz val="11"/>
        <rFont val="宋体"/>
        <family val="0"/>
      </rPr>
      <t>专技岗位</t>
    </r>
  </si>
  <si>
    <r>
      <t>9903020_</t>
    </r>
    <r>
      <rPr>
        <sz val="11"/>
        <rFont val="宋体"/>
        <family val="0"/>
      </rPr>
      <t>专技岗位</t>
    </r>
  </si>
  <si>
    <t>申论缺考</t>
  </si>
  <si>
    <r>
      <t>9903021_</t>
    </r>
    <r>
      <rPr>
        <sz val="11"/>
        <rFont val="宋体"/>
        <family val="0"/>
      </rPr>
      <t>专技岗位</t>
    </r>
  </si>
  <si>
    <r>
      <t>9903022_</t>
    </r>
    <r>
      <rPr>
        <sz val="11"/>
        <rFont val="宋体"/>
        <family val="0"/>
      </rPr>
      <t>专技岗位</t>
    </r>
  </si>
  <si>
    <r>
      <t>9903023_</t>
    </r>
    <r>
      <rPr>
        <sz val="11"/>
        <rFont val="宋体"/>
        <family val="0"/>
      </rPr>
      <t>专技岗位</t>
    </r>
  </si>
  <si>
    <r>
      <t>9903024_</t>
    </r>
    <r>
      <rPr>
        <sz val="11"/>
        <rFont val="宋体"/>
        <family val="0"/>
      </rPr>
      <t>专技岗位</t>
    </r>
  </si>
  <si>
    <r>
      <t>9903025_</t>
    </r>
    <r>
      <rPr>
        <sz val="11"/>
        <rFont val="宋体"/>
        <family val="0"/>
      </rPr>
      <t>专技岗位</t>
    </r>
  </si>
  <si>
    <r>
      <t>9903028_</t>
    </r>
    <r>
      <rPr>
        <sz val="11"/>
        <rFont val="宋体"/>
        <family val="0"/>
      </rPr>
      <t>管理岗位</t>
    </r>
  </si>
  <si>
    <r>
      <t>9903029_</t>
    </r>
    <r>
      <rPr>
        <sz val="11"/>
        <rFont val="宋体"/>
        <family val="0"/>
      </rPr>
      <t>专技岗位</t>
    </r>
  </si>
  <si>
    <r>
      <t>9903031_</t>
    </r>
    <r>
      <rPr>
        <sz val="11"/>
        <rFont val="宋体"/>
        <family val="0"/>
      </rPr>
      <t>专技岗位</t>
    </r>
  </si>
  <si>
    <r>
      <t>9903032_</t>
    </r>
    <r>
      <rPr>
        <sz val="11"/>
        <rFont val="宋体"/>
        <family val="0"/>
      </rPr>
      <t>专技岗位</t>
    </r>
  </si>
  <si>
    <r>
      <t>9903033_</t>
    </r>
    <r>
      <rPr>
        <sz val="11"/>
        <rFont val="宋体"/>
        <family val="0"/>
      </rPr>
      <t>管理岗位</t>
    </r>
  </si>
  <si>
    <r>
      <t>9903034_</t>
    </r>
    <r>
      <rPr>
        <sz val="11"/>
        <rFont val="宋体"/>
        <family val="0"/>
      </rPr>
      <t>管理岗位</t>
    </r>
  </si>
  <si>
    <r>
      <t>9903035_</t>
    </r>
    <r>
      <rPr>
        <sz val="11"/>
        <rFont val="宋体"/>
        <family val="0"/>
      </rPr>
      <t>专技岗位</t>
    </r>
  </si>
  <si>
    <r>
      <t>9903036_</t>
    </r>
    <r>
      <rPr>
        <sz val="11"/>
        <rFont val="宋体"/>
        <family val="0"/>
      </rPr>
      <t>专技岗位</t>
    </r>
  </si>
  <si>
    <r>
      <t>9903037_</t>
    </r>
    <r>
      <rPr>
        <sz val="11"/>
        <rFont val="宋体"/>
        <family val="0"/>
      </rPr>
      <t>专技岗位</t>
    </r>
  </si>
  <si>
    <r>
      <t>9903038_</t>
    </r>
    <r>
      <rPr>
        <sz val="11"/>
        <rFont val="宋体"/>
        <family val="0"/>
      </rPr>
      <t>专技岗位</t>
    </r>
  </si>
  <si>
    <r>
      <t>9903039_</t>
    </r>
    <r>
      <rPr>
        <sz val="11"/>
        <rFont val="宋体"/>
        <family val="0"/>
      </rPr>
      <t>专技岗位</t>
    </r>
  </si>
  <si>
    <r>
      <t>9903040_</t>
    </r>
    <r>
      <rPr>
        <sz val="11"/>
        <rFont val="宋体"/>
        <family val="0"/>
      </rPr>
      <t>专技岗位</t>
    </r>
  </si>
  <si>
    <r>
      <t>9903041_</t>
    </r>
    <r>
      <rPr>
        <sz val="11"/>
        <rFont val="宋体"/>
        <family val="0"/>
      </rPr>
      <t>专技岗位</t>
    </r>
  </si>
  <si>
    <r>
      <t>9903042_</t>
    </r>
    <r>
      <rPr>
        <sz val="11"/>
        <rFont val="宋体"/>
        <family val="0"/>
      </rPr>
      <t>管理岗位</t>
    </r>
  </si>
  <si>
    <r>
      <t>9903043_</t>
    </r>
    <r>
      <rPr>
        <sz val="11"/>
        <rFont val="宋体"/>
        <family val="0"/>
      </rPr>
      <t>管理岗位</t>
    </r>
  </si>
  <si>
    <r>
      <t>9903044_</t>
    </r>
    <r>
      <rPr>
        <sz val="11"/>
        <rFont val="宋体"/>
        <family val="0"/>
      </rPr>
      <t>管理岗位</t>
    </r>
  </si>
  <si>
    <r>
      <t>9903045_</t>
    </r>
    <r>
      <rPr>
        <sz val="11"/>
        <rFont val="宋体"/>
        <family val="0"/>
      </rPr>
      <t>管理岗位</t>
    </r>
  </si>
  <si>
    <r>
      <t>9903046_</t>
    </r>
    <r>
      <rPr>
        <sz val="11"/>
        <rFont val="宋体"/>
        <family val="0"/>
      </rPr>
      <t>管理岗位</t>
    </r>
  </si>
  <si>
    <r>
      <t>9903047_</t>
    </r>
    <r>
      <rPr>
        <sz val="11"/>
        <rFont val="宋体"/>
        <family val="0"/>
      </rPr>
      <t>管理岗位</t>
    </r>
  </si>
  <si>
    <r>
      <t>9903048_</t>
    </r>
    <r>
      <rPr>
        <sz val="11"/>
        <rFont val="宋体"/>
        <family val="0"/>
      </rPr>
      <t>管理岗位</t>
    </r>
  </si>
  <si>
    <r>
      <t>9903049_</t>
    </r>
    <r>
      <rPr>
        <sz val="11"/>
        <rFont val="宋体"/>
        <family val="0"/>
      </rPr>
      <t>专技岗位</t>
    </r>
  </si>
  <si>
    <r>
      <t>9903050_</t>
    </r>
    <r>
      <rPr>
        <sz val="11"/>
        <rFont val="宋体"/>
        <family val="0"/>
      </rPr>
      <t>专技岗位</t>
    </r>
  </si>
  <si>
    <r>
      <t>9903051_</t>
    </r>
    <r>
      <rPr>
        <sz val="11"/>
        <rFont val="宋体"/>
        <family val="0"/>
      </rPr>
      <t>专技岗位</t>
    </r>
  </si>
  <si>
    <r>
      <t>9903052_</t>
    </r>
    <r>
      <rPr>
        <sz val="11"/>
        <rFont val="宋体"/>
        <family val="0"/>
      </rPr>
      <t>管理岗位</t>
    </r>
  </si>
  <si>
    <r>
      <t>9903053_</t>
    </r>
    <r>
      <rPr>
        <sz val="11"/>
        <rFont val="宋体"/>
        <family val="0"/>
      </rPr>
      <t>管理岗位</t>
    </r>
  </si>
  <si>
    <r>
      <t>9903054_</t>
    </r>
    <r>
      <rPr>
        <sz val="11"/>
        <rFont val="宋体"/>
        <family val="0"/>
      </rPr>
      <t>管理岗位</t>
    </r>
  </si>
  <si>
    <r>
      <t>9903055_</t>
    </r>
    <r>
      <rPr>
        <sz val="11"/>
        <rFont val="宋体"/>
        <family val="0"/>
      </rPr>
      <t>管理岗位</t>
    </r>
  </si>
  <si>
    <r>
      <t>9903056_</t>
    </r>
    <r>
      <rPr>
        <sz val="11"/>
        <rFont val="宋体"/>
        <family val="0"/>
      </rPr>
      <t>管理岗位</t>
    </r>
  </si>
  <si>
    <r>
      <t>9903057_</t>
    </r>
    <r>
      <rPr>
        <sz val="11"/>
        <rFont val="宋体"/>
        <family val="0"/>
      </rPr>
      <t>管理岗位</t>
    </r>
  </si>
  <si>
    <r>
      <t>9903058_</t>
    </r>
    <r>
      <rPr>
        <sz val="11"/>
        <rFont val="宋体"/>
        <family val="0"/>
      </rPr>
      <t>管理岗位</t>
    </r>
  </si>
  <si>
    <r>
      <t>9903059_</t>
    </r>
    <r>
      <rPr>
        <sz val="11"/>
        <rFont val="宋体"/>
        <family val="0"/>
      </rPr>
      <t>管理岗位</t>
    </r>
  </si>
  <si>
    <r>
      <t>9903061_</t>
    </r>
    <r>
      <rPr>
        <sz val="11"/>
        <rFont val="宋体"/>
        <family val="0"/>
      </rPr>
      <t>专技岗位</t>
    </r>
  </si>
  <si>
    <r>
      <t>9903062_</t>
    </r>
    <r>
      <rPr>
        <sz val="11"/>
        <rFont val="宋体"/>
        <family val="0"/>
      </rPr>
      <t>专技岗位</t>
    </r>
  </si>
  <si>
    <r>
      <t>9903063_</t>
    </r>
    <r>
      <rPr>
        <sz val="11"/>
        <rFont val="宋体"/>
        <family val="0"/>
      </rPr>
      <t>专技岗位</t>
    </r>
  </si>
  <si>
    <r>
      <t>9903065_</t>
    </r>
    <r>
      <rPr>
        <sz val="11"/>
        <rFont val="宋体"/>
        <family val="0"/>
      </rPr>
      <t>专技岗位</t>
    </r>
  </si>
  <si>
    <r>
      <t>9903066_</t>
    </r>
    <r>
      <rPr>
        <sz val="11"/>
        <rFont val="宋体"/>
        <family val="0"/>
      </rPr>
      <t>专技岗位</t>
    </r>
  </si>
  <si>
    <r>
      <t>9903067_</t>
    </r>
    <r>
      <rPr>
        <sz val="11"/>
        <rFont val="宋体"/>
        <family val="0"/>
      </rPr>
      <t>专技岗位</t>
    </r>
  </si>
  <si>
    <r>
      <t>9903068_</t>
    </r>
    <r>
      <rPr>
        <sz val="11"/>
        <rFont val="宋体"/>
        <family val="0"/>
      </rPr>
      <t>专技岗位</t>
    </r>
  </si>
  <si>
    <r>
      <t>9903069_</t>
    </r>
    <r>
      <rPr>
        <sz val="11"/>
        <rFont val="宋体"/>
        <family val="0"/>
      </rPr>
      <t>专技岗位</t>
    </r>
  </si>
  <si>
    <r>
      <t>9903071_</t>
    </r>
    <r>
      <rPr>
        <sz val="11"/>
        <rFont val="宋体"/>
        <family val="0"/>
      </rPr>
      <t>专技岗位</t>
    </r>
  </si>
  <si>
    <r>
      <t>9903072_</t>
    </r>
    <r>
      <rPr>
        <sz val="11"/>
        <rFont val="宋体"/>
        <family val="0"/>
      </rPr>
      <t>专技岗位</t>
    </r>
  </si>
  <si>
    <r>
      <t>9903073_</t>
    </r>
    <r>
      <rPr>
        <sz val="11"/>
        <rFont val="宋体"/>
        <family val="0"/>
      </rPr>
      <t>专技岗位</t>
    </r>
  </si>
  <si>
    <r>
      <t>9903074_</t>
    </r>
    <r>
      <rPr>
        <sz val="11"/>
        <rFont val="宋体"/>
        <family val="0"/>
      </rPr>
      <t>专技岗位</t>
    </r>
  </si>
  <si>
    <r>
      <t>9903075_</t>
    </r>
    <r>
      <rPr>
        <sz val="11"/>
        <rFont val="宋体"/>
        <family val="0"/>
      </rPr>
      <t>专技岗位</t>
    </r>
  </si>
  <si>
    <r>
      <t>9903076_</t>
    </r>
    <r>
      <rPr>
        <sz val="11"/>
        <rFont val="宋体"/>
        <family val="0"/>
      </rPr>
      <t>专技岗位</t>
    </r>
  </si>
  <si>
    <r>
      <t>9903077_</t>
    </r>
    <r>
      <rPr>
        <sz val="11"/>
        <rFont val="宋体"/>
        <family val="0"/>
      </rPr>
      <t>管理岗位</t>
    </r>
  </si>
  <si>
    <r>
      <t>9903078_</t>
    </r>
    <r>
      <rPr>
        <sz val="11"/>
        <rFont val="宋体"/>
        <family val="0"/>
      </rPr>
      <t>管理岗位</t>
    </r>
  </si>
  <si>
    <r>
      <t>9903080_</t>
    </r>
    <r>
      <rPr>
        <sz val="11"/>
        <rFont val="宋体"/>
        <family val="0"/>
      </rPr>
      <t>管理岗位</t>
    </r>
  </si>
  <si>
    <r>
      <t>9903081_</t>
    </r>
    <r>
      <rPr>
        <sz val="11"/>
        <rFont val="宋体"/>
        <family val="0"/>
      </rPr>
      <t>管理岗位</t>
    </r>
  </si>
  <si>
    <r>
      <t>9903082_</t>
    </r>
    <r>
      <rPr>
        <sz val="11"/>
        <rFont val="宋体"/>
        <family val="0"/>
      </rPr>
      <t>管理岗位</t>
    </r>
  </si>
  <si>
    <r>
      <t>9903083_</t>
    </r>
    <r>
      <rPr>
        <sz val="11"/>
        <rFont val="宋体"/>
        <family val="0"/>
      </rPr>
      <t>管理岗位</t>
    </r>
  </si>
  <si>
    <r>
      <t>9903084_</t>
    </r>
    <r>
      <rPr>
        <sz val="11"/>
        <rFont val="宋体"/>
        <family val="0"/>
      </rPr>
      <t>专技岗位</t>
    </r>
  </si>
  <si>
    <r>
      <t>9903086_</t>
    </r>
    <r>
      <rPr>
        <sz val="11"/>
        <rFont val="宋体"/>
        <family val="0"/>
      </rPr>
      <t>专技岗位</t>
    </r>
  </si>
  <si>
    <r>
      <t>9903087_</t>
    </r>
    <r>
      <rPr>
        <sz val="11"/>
        <rFont val="宋体"/>
        <family val="0"/>
      </rPr>
      <t>专技岗位</t>
    </r>
  </si>
  <si>
    <r>
      <t>9903088_</t>
    </r>
    <r>
      <rPr>
        <sz val="11"/>
        <rFont val="宋体"/>
        <family val="0"/>
      </rPr>
      <t>管理岗位</t>
    </r>
  </si>
  <si>
    <r>
      <t>9903090_</t>
    </r>
    <r>
      <rPr>
        <sz val="11"/>
        <rFont val="宋体"/>
        <family val="0"/>
      </rPr>
      <t>专技岗位</t>
    </r>
  </si>
  <si>
    <t>附件</t>
  </si>
  <si>
    <t>2020年度明光市事业单位公开招聘工作人员面试人员名单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</si>
</sst>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黑体"/>
      <family val="3"/>
    </font>
    <font>
      <sz val="16"/>
      <name val="黑体"/>
      <family val="3"/>
    </font>
    <font>
      <sz val="16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10"/>
      <name val="Times New Roman"/>
      <family val="1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Times New Roman"/>
      <family val="1"/>
    </font>
    <font>
      <b/>
      <sz val="11"/>
      <color theme="1"/>
      <name val="宋体"/>
      <family val="0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49" fillId="0" borderId="9" xfId="0" applyFont="1" applyFill="1" applyBorder="1" applyAlignment="1">
      <alignment horizontal="center" vertical="center" shrinkToFit="1"/>
    </xf>
    <xf numFmtId="0" fontId="50" fillId="0" borderId="9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17"/>
  <sheetViews>
    <sheetView workbookViewId="0" topLeftCell="A1">
      <pane ySplit="2" topLeftCell="A3" activePane="bottomLeft" state="frozen"/>
      <selection pane="bottomLeft" activeCell="J23" sqref="J23"/>
    </sheetView>
  </sheetViews>
  <sheetFormatPr defaultColWidth="9.00390625" defaultRowHeight="14.25"/>
  <cols>
    <col min="1" max="1" width="14.125" style="1" customWidth="1"/>
    <col min="2" max="2" width="10.125" style="1" customWidth="1"/>
    <col min="3" max="3" width="20.50390625" style="1" hidden="1" customWidth="1"/>
    <col min="4" max="4" width="10.625" style="1" customWidth="1"/>
    <col min="5" max="7" width="12.625" style="1" customWidth="1"/>
    <col min="8" max="8" width="15.00390625" style="1" customWidth="1"/>
    <col min="9" max="16384" width="9.00390625" style="1" customWidth="1"/>
  </cols>
  <sheetData>
    <row r="1" spans="1:8" ht="30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2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6" t="s">
        <v>8</v>
      </c>
    </row>
    <row r="3" spans="1:8" ht="22.5" customHeight="1">
      <c r="A3" s="8" t="s">
        <v>9</v>
      </c>
      <c r="B3" s="8" t="str">
        <f>"金文文"</f>
        <v>金文文</v>
      </c>
      <c r="C3" s="8" t="str">
        <f>"341182199807204224"</f>
        <v>341182199807204224</v>
      </c>
      <c r="D3" s="8" t="str">
        <f>"20200300108"</f>
        <v>20200300108</v>
      </c>
      <c r="E3" s="9">
        <v>69</v>
      </c>
      <c r="F3" s="9">
        <v>75</v>
      </c>
      <c r="G3" s="9">
        <f aca="true" t="shared" si="0" ref="G3:G66">E3+F3</f>
        <v>144</v>
      </c>
      <c r="H3" s="8"/>
    </row>
    <row r="4" spans="1:8" ht="22.5" customHeight="1">
      <c r="A4" s="8" t="s">
        <v>9</v>
      </c>
      <c r="B4" s="8" t="str">
        <f>"朱娜娜"</f>
        <v>朱娜娜</v>
      </c>
      <c r="C4" s="8" t="str">
        <f>"341182199707260026"</f>
        <v>341182199707260026</v>
      </c>
      <c r="D4" s="8" t="str">
        <f>"20200300105"</f>
        <v>20200300105</v>
      </c>
      <c r="E4" s="9">
        <v>63.4</v>
      </c>
      <c r="F4" s="9">
        <v>73.5</v>
      </c>
      <c r="G4" s="9">
        <f t="shared" si="0"/>
        <v>136.9</v>
      </c>
      <c r="H4" s="8"/>
    </row>
    <row r="5" spans="1:8" ht="22.5" customHeight="1">
      <c r="A5" s="8" t="s">
        <v>9</v>
      </c>
      <c r="B5" s="8" t="str">
        <f>"李清玉"</f>
        <v>李清玉</v>
      </c>
      <c r="C5" s="8" t="str">
        <f>"341182199808270485"</f>
        <v>341182199808270485</v>
      </c>
      <c r="D5" s="8" t="str">
        <f>"20200300106"</f>
        <v>20200300106</v>
      </c>
      <c r="E5" s="9">
        <v>67.6</v>
      </c>
      <c r="F5" s="9">
        <v>69</v>
      </c>
      <c r="G5" s="9">
        <f t="shared" si="0"/>
        <v>136.6</v>
      </c>
      <c r="H5" s="8"/>
    </row>
    <row r="6" spans="1:8" ht="22.5" customHeight="1">
      <c r="A6" s="8" t="s">
        <v>9</v>
      </c>
      <c r="B6" s="8" t="str">
        <f>"毛玲"</f>
        <v>毛玲</v>
      </c>
      <c r="C6" s="8" t="str">
        <f>"341182199812223622"</f>
        <v>341182199812223622</v>
      </c>
      <c r="D6" s="8" t="str">
        <f>"20200300109"</f>
        <v>20200300109</v>
      </c>
      <c r="E6" s="9">
        <v>53</v>
      </c>
      <c r="F6" s="9">
        <v>72.5</v>
      </c>
      <c r="G6" s="9">
        <f t="shared" si="0"/>
        <v>125.5</v>
      </c>
      <c r="H6" s="8"/>
    </row>
    <row r="7" spans="1:8" ht="22.5" customHeight="1">
      <c r="A7" s="8" t="s">
        <v>9</v>
      </c>
      <c r="B7" s="8" t="str">
        <f>"靳万蕊"</f>
        <v>靳万蕊</v>
      </c>
      <c r="C7" s="8" t="str">
        <f>"341182199602170622"</f>
        <v>341182199602170622</v>
      </c>
      <c r="D7" s="8" t="str">
        <f>"20200300101"</f>
        <v>20200300101</v>
      </c>
      <c r="E7" s="9">
        <v>52.6</v>
      </c>
      <c r="F7" s="9">
        <v>68.5</v>
      </c>
      <c r="G7" s="9">
        <f t="shared" si="0"/>
        <v>121.1</v>
      </c>
      <c r="H7" s="8"/>
    </row>
    <row r="8" spans="1:8" ht="22.5" customHeight="1">
      <c r="A8" s="8" t="s">
        <v>9</v>
      </c>
      <c r="B8" s="8" t="str">
        <f>"牛洁"</f>
        <v>牛洁</v>
      </c>
      <c r="C8" s="8" t="str">
        <f>"341182199805042620"</f>
        <v>341182199805042620</v>
      </c>
      <c r="D8" s="8" t="str">
        <f>"20200300104"</f>
        <v>20200300104</v>
      </c>
      <c r="E8" s="9">
        <v>54</v>
      </c>
      <c r="F8" s="9">
        <v>67</v>
      </c>
      <c r="G8" s="9">
        <f t="shared" si="0"/>
        <v>121</v>
      </c>
      <c r="H8" s="8"/>
    </row>
    <row r="9" spans="1:8" ht="22.5" customHeight="1">
      <c r="A9" s="8" t="s">
        <v>9</v>
      </c>
      <c r="B9" s="8" t="str">
        <f>"仵星"</f>
        <v>仵星</v>
      </c>
      <c r="C9" s="8" t="str">
        <f>"522221199308091226"</f>
        <v>522221199308091226</v>
      </c>
      <c r="D9" s="8" t="str">
        <f>"20200300102"</f>
        <v>20200300102</v>
      </c>
      <c r="E9" s="9">
        <v>52.8</v>
      </c>
      <c r="F9" s="9">
        <v>65.5</v>
      </c>
      <c r="G9" s="9">
        <f t="shared" si="0"/>
        <v>118.3</v>
      </c>
      <c r="H9" s="8"/>
    </row>
    <row r="10" spans="1:8" ht="22.5" customHeight="1">
      <c r="A10" s="8" t="s">
        <v>9</v>
      </c>
      <c r="B10" s="8" t="str">
        <f>"潘芳珍"</f>
        <v>潘芳珍</v>
      </c>
      <c r="C10" s="8" t="str">
        <f>"341182199702184861"</f>
        <v>341182199702184861</v>
      </c>
      <c r="D10" s="8" t="str">
        <f>"20200300107"</f>
        <v>20200300107</v>
      </c>
      <c r="E10" s="9">
        <v>48.2</v>
      </c>
      <c r="F10" s="9">
        <v>67.5</v>
      </c>
      <c r="G10" s="9">
        <f t="shared" si="0"/>
        <v>115.7</v>
      </c>
      <c r="H10" s="8"/>
    </row>
    <row r="11" spans="1:8" ht="22.5" customHeight="1">
      <c r="A11" s="8" t="s">
        <v>9</v>
      </c>
      <c r="B11" s="8" t="str">
        <f>"欧明喆"</f>
        <v>欧明喆</v>
      </c>
      <c r="C11" s="8" t="str">
        <f>"341182199606250013"</f>
        <v>341182199606250013</v>
      </c>
      <c r="D11" s="8" t="str">
        <f>"20200300103"</f>
        <v>20200300103</v>
      </c>
      <c r="E11" s="9">
        <v>0</v>
      </c>
      <c r="F11" s="9">
        <v>0</v>
      </c>
      <c r="G11" s="9">
        <f t="shared" si="0"/>
        <v>0</v>
      </c>
      <c r="H11" s="8" t="s">
        <v>10</v>
      </c>
    </row>
    <row r="12" spans="1:8" ht="22.5" customHeight="1">
      <c r="A12" s="8" t="s">
        <v>11</v>
      </c>
      <c r="B12" s="8" t="str">
        <f>"卢旭"</f>
        <v>卢旭</v>
      </c>
      <c r="C12" s="8" t="str">
        <f>"341182199711303623"</f>
        <v>341182199711303623</v>
      </c>
      <c r="D12" s="8" t="str">
        <f>"20200300112"</f>
        <v>20200300112</v>
      </c>
      <c r="E12" s="9">
        <v>60.5</v>
      </c>
      <c r="F12" s="9">
        <v>74.5</v>
      </c>
      <c r="G12" s="9">
        <f t="shared" si="0"/>
        <v>135</v>
      </c>
      <c r="H12" s="8"/>
    </row>
    <row r="13" spans="1:8" ht="22.5" customHeight="1">
      <c r="A13" s="8" t="s">
        <v>11</v>
      </c>
      <c r="B13" s="8" t="str">
        <f>"周璇"</f>
        <v>周璇</v>
      </c>
      <c r="C13" s="8" t="str">
        <f>"341127199701132424"</f>
        <v>341127199701132424</v>
      </c>
      <c r="D13" s="8" t="str">
        <f>"20200300113"</f>
        <v>20200300113</v>
      </c>
      <c r="E13" s="9">
        <v>55.8</v>
      </c>
      <c r="F13" s="9">
        <v>70</v>
      </c>
      <c r="G13" s="9">
        <f t="shared" si="0"/>
        <v>125.8</v>
      </c>
      <c r="H13" s="8"/>
    </row>
    <row r="14" spans="1:8" ht="22.5" customHeight="1">
      <c r="A14" s="8" t="s">
        <v>11</v>
      </c>
      <c r="B14" s="8" t="str">
        <f>"杨严严"</f>
        <v>杨严严</v>
      </c>
      <c r="C14" s="8" t="str">
        <f>"34118219940104382X"</f>
        <v>34118219940104382X</v>
      </c>
      <c r="D14" s="8" t="str">
        <f>"20200300110"</f>
        <v>20200300110</v>
      </c>
      <c r="E14" s="9">
        <v>50.6</v>
      </c>
      <c r="F14" s="9">
        <v>74.5</v>
      </c>
      <c r="G14" s="9">
        <f t="shared" si="0"/>
        <v>125.1</v>
      </c>
      <c r="H14" s="8"/>
    </row>
    <row r="15" spans="1:8" ht="22.5" customHeight="1">
      <c r="A15" s="8" t="s">
        <v>11</v>
      </c>
      <c r="B15" s="8" t="str">
        <f>"郭娇艳"</f>
        <v>郭娇艳</v>
      </c>
      <c r="C15" s="8" t="str">
        <f>"341182199806026227"</f>
        <v>341182199806026227</v>
      </c>
      <c r="D15" s="8" t="str">
        <f>"20200300111"</f>
        <v>20200300111</v>
      </c>
      <c r="E15" s="9">
        <v>47.4</v>
      </c>
      <c r="F15" s="9">
        <v>74.5</v>
      </c>
      <c r="G15" s="9">
        <f t="shared" si="0"/>
        <v>121.9</v>
      </c>
      <c r="H15" s="8"/>
    </row>
    <row r="16" spans="1:8" ht="22.5" customHeight="1">
      <c r="A16" s="8" t="s">
        <v>12</v>
      </c>
      <c r="B16" s="8" t="str">
        <f>"王红"</f>
        <v>王红</v>
      </c>
      <c r="C16" s="8" t="str">
        <f>"341182199710121641"</f>
        <v>341182199710121641</v>
      </c>
      <c r="D16" s="8" t="str">
        <f>"20200300114"</f>
        <v>20200300114</v>
      </c>
      <c r="E16" s="9">
        <v>52.9</v>
      </c>
      <c r="F16" s="9">
        <v>74.5</v>
      </c>
      <c r="G16" s="9">
        <f t="shared" si="0"/>
        <v>127.4</v>
      </c>
      <c r="H16" s="8"/>
    </row>
    <row r="17" spans="1:8" ht="22.5" customHeight="1">
      <c r="A17" s="8" t="s">
        <v>12</v>
      </c>
      <c r="B17" s="8" t="str">
        <f>"蔡洁"</f>
        <v>蔡洁</v>
      </c>
      <c r="C17" s="8" t="str">
        <f>"341182199701276422"</f>
        <v>341182199701276422</v>
      </c>
      <c r="D17" s="8" t="str">
        <f>"20200300115"</f>
        <v>20200300115</v>
      </c>
      <c r="E17" s="9">
        <v>50.1</v>
      </c>
      <c r="F17" s="9">
        <v>71.5</v>
      </c>
      <c r="G17" s="9">
        <f t="shared" si="0"/>
        <v>121.6</v>
      </c>
      <c r="H17" s="8"/>
    </row>
    <row r="18" spans="1:8" ht="22.5" customHeight="1">
      <c r="A18" s="8" t="s">
        <v>13</v>
      </c>
      <c r="B18" s="8" t="str">
        <f>"李飞"</f>
        <v>李飞</v>
      </c>
      <c r="C18" s="8" t="str">
        <f>"341182199509045616"</f>
        <v>341182199509045616</v>
      </c>
      <c r="D18" s="8" t="str">
        <f>"20200300118"</f>
        <v>20200300118</v>
      </c>
      <c r="E18" s="9">
        <v>70.4</v>
      </c>
      <c r="F18" s="9">
        <v>70</v>
      </c>
      <c r="G18" s="9">
        <f t="shared" si="0"/>
        <v>140.4</v>
      </c>
      <c r="H18" s="8"/>
    </row>
    <row r="19" spans="1:8" ht="22.5" customHeight="1">
      <c r="A19" s="8" t="s">
        <v>13</v>
      </c>
      <c r="B19" s="8" t="str">
        <f>"刘汉明"</f>
        <v>刘汉明</v>
      </c>
      <c r="C19" s="8" t="str">
        <f>"341182199711274412"</f>
        <v>341182199711274412</v>
      </c>
      <c r="D19" s="8" t="str">
        <f>"20200300122"</f>
        <v>20200300122</v>
      </c>
      <c r="E19" s="9">
        <v>61.8</v>
      </c>
      <c r="F19" s="9">
        <v>75.5</v>
      </c>
      <c r="G19" s="9">
        <f t="shared" si="0"/>
        <v>137.3</v>
      </c>
      <c r="H19" s="8"/>
    </row>
    <row r="20" spans="1:8" ht="22.5" customHeight="1">
      <c r="A20" s="8" t="s">
        <v>13</v>
      </c>
      <c r="B20" s="8" t="str">
        <f>"于星"</f>
        <v>于星</v>
      </c>
      <c r="C20" s="8" t="str">
        <f>"341182199901010629"</f>
        <v>341182199901010629</v>
      </c>
      <c r="D20" s="8" t="str">
        <f>"20200300116"</f>
        <v>20200300116</v>
      </c>
      <c r="E20" s="9">
        <v>57.1</v>
      </c>
      <c r="F20" s="9">
        <v>75.5</v>
      </c>
      <c r="G20" s="9">
        <f t="shared" si="0"/>
        <v>132.6</v>
      </c>
      <c r="H20" s="8"/>
    </row>
    <row r="21" spans="1:8" ht="22.5" customHeight="1">
      <c r="A21" s="8" t="s">
        <v>13</v>
      </c>
      <c r="B21" s="8" t="str">
        <f>"曹虎"</f>
        <v>曹虎</v>
      </c>
      <c r="C21" s="8" t="str">
        <f>"341182199702134418"</f>
        <v>341182199702134418</v>
      </c>
      <c r="D21" s="8" t="str">
        <f>"20200300121"</f>
        <v>20200300121</v>
      </c>
      <c r="E21" s="9">
        <v>59.4</v>
      </c>
      <c r="F21" s="9">
        <v>72</v>
      </c>
      <c r="G21" s="9">
        <f t="shared" si="0"/>
        <v>131.4</v>
      </c>
      <c r="H21" s="8"/>
    </row>
    <row r="22" spans="1:8" ht="22.5" customHeight="1">
      <c r="A22" s="8" t="s">
        <v>13</v>
      </c>
      <c r="B22" s="8" t="str">
        <f>"范晓枫"</f>
        <v>范晓枫</v>
      </c>
      <c r="C22" s="8" t="str">
        <f>"34112719950901142X"</f>
        <v>34112719950901142X</v>
      </c>
      <c r="D22" s="8" t="str">
        <f>"20200300123"</f>
        <v>20200300123</v>
      </c>
      <c r="E22" s="9">
        <v>48.8</v>
      </c>
      <c r="F22" s="9">
        <v>74.5</v>
      </c>
      <c r="G22" s="9">
        <f t="shared" si="0"/>
        <v>123.3</v>
      </c>
      <c r="H22" s="8"/>
    </row>
    <row r="23" spans="1:8" ht="22.5" customHeight="1">
      <c r="A23" s="8" t="s">
        <v>13</v>
      </c>
      <c r="B23" s="8" t="str">
        <f>"殷传秀"</f>
        <v>殷传秀</v>
      </c>
      <c r="C23" s="8" t="str">
        <f>"341182199709232627"</f>
        <v>341182199709232627</v>
      </c>
      <c r="D23" s="8" t="str">
        <f>"20200300117"</f>
        <v>20200300117</v>
      </c>
      <c r="E23" s="9">
        <v>38.5</v>
      </c>
      <c r="F23" s="9">
        <v>72</v>
      </c>
      <c r="G23" s="9">
        <f t="shared" si="0"/>
        <v>110.5</v>
      </c>
      <c r="H23" s="8"/>
    </row>
    <row r="24" spans="1:8" ht="22.5" customHeight="1">
      <c r="A24" s="8" t="s">
        <v>13</v>
      </c>
      <c r="B24" s="8" t="str">
        <f>"赵雪梅"</f>
        <v>赵雪梅</v>
      </c>
      <c r="C24" s="8" t="str">
        <f>"341182199709190420"</f>
        <v>341182199709190420</v>
      </c>
      <c r="D24" s="8" t="str">
        <f>"20200300120"</f>
        <v>20200300120</v>
      </c>
      <c r="E24" s="9">
        <v>44.4</v>
      </c>
      <c r="F24" s="9">
        <v>63</v>
      </c>
      <c r="G24" s="9">
        <f t="shared" si="0"/>
        <v>107.4</v>
      </c>
      <c r="H24" s="8"/>
    </row>
    <row r="25" spans="1:8" ht="22.5" customHeight="1">
      <c r="A25" s="8" t="s">
        <v>13</v>
      </c>
      <c r="B25" s="8" t="str">
        <f>"张志鹏"</f>
        <v>张志鹏</v>
      </c>
      <c r="C25" s="8" t="str">
        <f>"341102199609090615"</f>
        <v>341102199609090615</v>
      </c>
      <c r="D25" s="8" t="str">
        <f>"20200300119"</f>
        <v>20200300119</v>
      </c>
      <c r="E25" s="9">
        <v>0</v>
      </c>
      <c r="F25" s="9">
        <v>0</v>
      </c>
      <c r="G25" s="9">
        <f t="shared" si="0"/>
        <v>0</v>
      </c>
      <c r="H25" s="8" t="s">
        <v>10</v>
      </c>
    </row>
    <row r="26" spans="1:8" ht="22.5" customHeight="1">
      <c r="A26" s="8" t="s">
        <v>14</v>
      </c>
      <c r="B26" s="8" t="str">
        <f>"宁巧玉"</f>
        <v>宁巧玉</v>
      </c>
      <c r="C26" s="8" t="str">
        <f>"341182198907310441"</f>
        <v>341182198907310441</v>
      </c>
      <c r="D26" s="8" t="str">
        <f>"20200300207"</f>
        <v>20200300207</v>
      </c>
      <c r="E26" s="9">
        <v>65.5</v>
      </c>
      <c r="F26" s="9">
        <v>71.5</v>
      </c>
      <c r="G26" s="9">
        <f t="shared" si="0"/>
        <v>137</v>
      </c>
      <c r="H26" s="8"/>
    </row>
    <row r="27" spans="1:8" ht="22.5" customHeight="1">
      <c r="A27" s="8" t="s">
        <v>14</v>
      </c>
      <c r="B27" s="8" t="str">
        <f>"刘美慧"</f>
        <v>刘美慧</v>
      </c>
      <c r="C27" s="8" t="str">
        <f>"341182199203050244"</f>
        <v>341182199203050244</v>
      </c>
      <c r="D27" s="8" t="str">
        <f>"20200300205"</f>
        <v>20200300205</v>
      </c>
      <c r="E27" s="9">
        <v>61.4</v>
      </c>
      <c r="F27" s="9">
        <v>73</v>
      </c>
      <c r="G27" s="9">
        <f t="shared" si="0"/>
        <v>134.4</v>
      </c>
      <c r="H27" s="8"/>
    </row>
    <row r="28" spans="1:8" ht="22.5" customHeight="1">
      <c r="A28" s="8" t="s">
        <v>14</v>
      </c>
      <c r="B28" s="8" t="str">
        <f>"董文雯"</f>
        <v>董文雯</v>
      </c>
      <c r="C28" s="8" t="str">
        <f>"341181199405093422"</f>
        <v>341181199405093422</v>
      </c>
      <c r="D28" s="8" t="str">
        <f>"20200300130"</f>
        <v>20200300130</v>
      </c>
      <c r="E28" s="9">
        <v>54.9</v>
      </c>
      <c r="F28" s="9">
        <v>76</v>
      </c>
      <c r="G28" s="9">
        <f t="shared" si="0"/>
        <v>130.9</v>
      </c>
      <c r="H28" s="8"/>
    </row>
    <row r="29" spans="1:8" ht="22.5" customHeight="1">
      <c r="A29" s="8" t="s">
        <v>14</v>
      </c>
      <c r="B29" s="8" t="str">
        <f>"胡婷婷"</f>
        <v>胡婷婷</v>
      </c>
      <c r="C29" s="8" t="str">
        <f>"341182199512310628"</f>
        <v>341182199512310628</v>
      </c>
      <c r="D29" s="8" t="str">
        <f>"20200300125"</f>
        <v>20200300125</v>
      </c>
      <c r="E29" s="9">
        <v>61.2</v>
      </c>
      <c r="F29" s="9">
        <v>68</v>
      </c>
      <c r="G29" s="9">
        <f t="shared" si="0"/>
        <v>129.2</v>
      </c>
      <c r="H29" s="8"/>
    </row>
    <row r="30" spans="1:8" ht="22.5" customHeight="1">
      <c r="A30" s="8" t="s">
        <v>14</v>
      </c>
      <c r="B30" s="8" t="str">
        <f>"于广洁"</f>
        <v>于广洁</v>
      </c>
      <c r="C30" s="8" t="str">
        <f>"341182199410085423"</f>
        <v>341182199410085423</v>
      </c>
      <c r="D30" s="8" t="str">
        <f>"20200300126"</f>
        <v>20200300126</v>
      </c>
      <c r="E30" s="9">
        <v>58.1</v>
      </c>
      <c r="F30" s="9">
        <v>69.5</v>
      </c>
      <c r="G30" s="9">
        <f t="shared" si="0"/>
        <v>127.6</v>
      </c>
      <c r="H30" s="8"/>
    </row>
    <row r="31" spans="1:8" ht="22.5" customHeight="1">
      <c r="A31" s="8" t="s">
        <v>14</v>
      </c>
      <c r="B31" s="8" t="str">
        <f>"周流荟"</f>
        <v>周流荟</v>
      </c>
      <c r="C31" s="8" t="str">
        <f>"341126199202120246"</f>
        <v>341126199202120246</v>
      </c>
      <c r="D31" s="8" t="str">
        <f>"20200300201"</f>
        <v>20200300201</v>
      </c>
      <c r="E31" s="9">
        <v>51.6</v>
      </c>
      <c r="F31" s="9">
        <v>75.5</v>
      </c>
      <c r="G31" s="9">
        <f t="shared" si="0"/>
        <v>127.1</v>
      </c>
      <c r="H31" s="8"/>
    </row>
    <row r="32" spans="1:8" ht="22.5" customHeight="1">
      <c r="A32" s="8" t="s">
        <v>14</v>
      </c>
      <c r="B32" s="8" t="str">
        <f>"卢琼"</f>
        <v>卢琼</v>
      </c>
      <c r="C32" s="8" t="str">
        <f>"341182199111263023"</f>
        <v>341182199111263023</v>
      </c>
      <c r="D32" s="8" t="str">
        <f>"20200300203"</f>
        <v>20200300203</v>
      </c>
      <c r="E32" s="9">
        <v>50.3</v>
      </c>
      <c r="F32" s="9">
        <v>75</v>
      </c>
      <c r="G32" s="9">
        <f t="shared" si="0"/>
        <v>125.3</v>
      </c>
      <c r="H32" s="8"/>
    </row>
    <row r="33" spans="1:8" ht="22.5" customHeight="1">
      <c r="A33" s="8" t="s">
        <v>14</v>
      </c>
      <c r="B33" s="8" t="str">
        <f>"焦开玉"</f>
        <v>焦开玉</v>
      </c>
      <c r="C33" s="8" t="str">
        <f>"341182199306040620"</f>
        <v>341182199306040620</v>
      </c>
      <c r="D33" s="8" t="str">
        <f>"20200300124"</f>
        <v>20200300124</v>
      </c>
      <c r="E33" s="9">
        <v>49.3</v>
      </c>
      <c r="F33" s="9">
        <v>67.5</v>
      </c>
      <c r="G33" s="9">
        <f t="shared" si="0"/>
        <v>116.8</v>
      </c>
      <c r="H33" s="8"/>
    </row>
    <row r="34" spans="1:8" ht="22.5" customHeight="1">
      <c r="A34" s="8" t="s">
        <v>14</v>
      </c>
      <c r="B34" s="8" t="str">
        <f>"姜歌"</f>
        <v>姜歌</v>
      </c>
      <c r="C34" s="8" t="str">
        <f>"341182199508286426"</f>
        <v>341182199508286426</v>
      </c>
      <c r="D34" s="8" t="str">
        <f>"20200300129"</f>
        <v>20200300129</v>
      </c>
      <c r="E34" s="9">
        <v>40.3</v>
      </c>
      <c r="F34" s="9">
        <v>71</v>
      </c>
      <c r="G34" s="9">
        <f t="shared" si="0"/>
        <v>111.3</v>
      </c>
      <c r="H34" s="8"/>
    </row>
    <row r="35" spans="1:8" ht="22.5" customHeight="1">
      <c r="A35" s="8" t="s">
        <v>14</v>
      </c>
      <c r="B35" s="8" t="str">
        <f>"黄俊杰"</f>
        <v>黄俊杰</v>
      </c>
      <c r="C35" s="8" t="str">
        <f>"341182199104040614"</f>
        <v>341182199104040614</v>
      </c>
      <c r="D35" s="8" t="str">
        <f>"20200300128"</f>
        <v>20200300128</v>
      </c>
      <c r="E35" s="9">
        <v>28.1</v>
      </c>
      <c r="F35" s="9">
        <v>72.5</v>
      </c>
      <c r="G35" s="9">
        <f t="shared" si="0"/>
        <v>100.6</v>
      </c>
      <c r="H35" s="8"/>
    </row>
    <row r="36" spans="1:8" ht="22.5" customHeight="1">
      <c r="A36" s="8" t="s">
        <v>14</v>
      </c>
      <c r="B36" s="8" t="str">
        <f>"申苗苗"</f>
        <v>申苗苗</v>
      </c>
      <c r="C36" s="8" t="str">
        <f>"341126199405276726"</f>
        <v>341126199405276726</v>
      </c>
      <c r="D36" s="8" t="str">
        <f>"20200300127"</f>
        <v>20200300127</v>
      </c>
      <c r="E36" s="9">
        <v>0</v>
      </c>
      <c r="F36" s="9">
        <v>0</v>
      </c>
      <c r="G36" s="9">
        <f t="shared" si="0"/>
        <v>0</v>
      </c>
      <c r="H36" s="8" t="s">
        <v>10</v>
      </c>
    </row>
    <row r="37" spans="1:8" ht="22.5" customHeight="1">
      <c r="A37" s="8" t="s">
        <v>14</v>
      </c>
      <c r="B37" s="8" t="str">
        <f>"余涛"</f>
        <v>余涛</v>
      </c>
      <c r="C37" s="8" t="str">
        <f>"341182199010266217"</f>
        <v>341182199010266217</v>
      </c>
      <c r="D37" s="8" t="str">
        <f>"20200300202"</f>
        <v>20200300202</v>
      </c>
      <c r="E37" s="9">
        <v>0</v>
      </c>
      <c r="F37" s="9">
        <v>0</v>
      </c>
      <c r="G37" s="9">
        <f t="shared" si="0"/>
        <v>0</v>
      </c>
      <c r="H37" s="8" t="s">
        <v>10</v>
      </c>
    </row>
    <row r="38" spans="1:8" ht="22.5" customHeight="1">
      <c r="A38" s="8" t="s">
        <v>14</v>
      </c>
      <c r="B38" s="8" t="str">
        <f>"王永云"</f>
        <v>王永云</v>
      </c>
      <c r="C38" s="8" t="str">
        <f>"34118119960208164X"</f>
        <v>34118119960208164X</v>
      </c>
      <c r="D38" s="8" t="str">
        <f>"20200300204"</f>
        <v>20200300204</v>
      </c>
      <c r="E38" s="9">
        <v>0</v>
      </c>
      <c r="F38" s="9">
        <v>0</v>
      </c>
      <c r="G38" s="9">
        <f t="shared" si="0"/>
        <v>0</v>
      </c>
      <c r="H38" s="8" t="s">
        <v>10</v>
      </c>
    </row>
    <row r="39" spans="1:8" ht="22.5" customHeight="1">
      <c r="A39" s="8" t="s">
        <v>14</v>
      </c>
      <c r="B39" s="8" t="str">
        <f>"朱源慧"</f>
        <v>朱源慧</v>
      </c>
      <c r="C39" s="8" t="str">
        <f>"341181199306201029"</f>
        <v>341181199306201029</v>
      </c>
      <c r="D39" s="8" t="str">
        <f>"20200300206"</f>
        <v>20200300206</v>
      </c>
      <c r="E39" s="9">
        <v>0</v>
      </c>
      <c r="F39" s="9">
        <v>0</v>
      </c>
      <c r="G39" s="9">
        <f t="shared" si="0"/>
        <v>0</v>
      </c>
      <c r="H39" s="8" t="s">
        <v>10</v>
      </c>
    </row>
    <row r="40" spans="1:8" ht="22.5" customHeight="1">
      <c r="A40" s="8" t="s">
        <v>15</v>
      </c>
      <c r="B40" s="8" t="str">
        <f>"许广健"</f>
        <v>许广健</v>
      </c>
      <c r="C40" s="8" t="str">
        <f>"34112719970925061X"</f>
        <v>34112719970925061X</v>
      </c>
      <c r="D40" s="8" t="str">
        <f>"20200300211"</f>
        <v>20200300211</v>
      </c>
      <c r="E40" s="9">
        <v>60.4</v>
      </c>
      <c r="F40" s="9">
        <v>74.5</v>
      </c>
      <c r="G40" s="9">
        <f t="shared" si="0"/>
        <v>134.9</v>
      </c>
      <c r="H40" s="8"/>
    </row>
    <row r="41" spans="1:8" ht="22.5" customHeight="1">
      <c r="A41" s="8" t="s">
        <v>15</v>
      </c>
      <c r="B41" s="8" t="str">
        <f>"江惠"</f>
        <v>江惠</v>
      </c>
      <c r="C41" s="8" t="str">
        <f>"341182199701072024"</f>
        <v>341182199701072024</v>
      </c>
      <c r="D41" s="8" t="str">
        <f>"20200300210"</f>
        <v>20200300210</v>
      </c>
      <c r="E41" s="9">
        <v>53.5</v>
      </c>
      <c r="F41" s="9">
        <v>69</v>
      </c>
      <c r="G41" s="9">
        <f t="shared" si="0"/>
        <v>122.5</v>
      </c>
      <c r="H41" s="8"/>
    </row>
    <row r="42" spans="1:8" ht="22.5" customHeight="1">
      <c r="A42" s="8" t="s">
        <v>15</v>
      </c>
      <c r="B42" s="8" t="str">
        <f>"卢雪"</f>
        <v>卢雪</v>
      </c>
      <c r="C42" s="8" t="str">
        <f>"341182199712183627"</f>
        <v>341182199712183627</v>
      </c>
      <c r="D42" s="8" t="str">
        <f>"20200300208"</f>
        <v>20200300208</v>
      </c>
      <c r="E42" s="9">
        <v>50.8</v>
      </c>
      <c r="F42" s="9">
        <v>70.5</v>
      </c>
      <c r="G42" s="9">
        <f t="shared" si="0"/>
        <v>121.3</v>
      </c>
      <c r="H42" s="8"/>
    </row>
    <row r="43" spans="1:8" ht="22.5" customHeight="1">
      <c r="A43" s="8" t="s">
        <v>15</v>
      </c>
      <c r="B43" s="8" t="str">
        <f>"黄雪"</f>
        <v>黄雪</v>
      </c>
      <c r="C43" s="8" t="str">
        <f>"320830199803300048"</f>
        <v>320830199803300048</v>
      </c>
      <c r="D43" s="8" t="str">
        <f>"20200300209"</f>
        <v>20200300209</v>
      </c>
      <c r="E43" s="9">
        <v>53.1</v>
      </c>
      <c r="F43" s="9">
        <v>61</v>
      </c>
      <c r="G43" s="9">
        <f t="shared" si="0"/>
        <v>114.1</v>
      </c>
      <c r="H43" s="8"/>
    </row>
    <row r="44" spans="1:8" ht="22.5" customHeight="1">
      <c r="A44" s="8" t="s">
        <v>15</v>
      </c>
      <c r="B44" s="8" t="str">
        <f>"王旭"</f>
        <v>王旭</v>
      </c>
      <c r="C44" s="8" t="str">
        <f>"34112719970507142X"</f>
        <v>34112719970507142X</v>
      </c>
      <c r="D44" s="8" t="str">
        <f>"20200300212"</f>
        <v>20200300212</v>
      </c>
      <c r="E44" s="9">
        <v>0.8</v>
      </c>
      <c r="F44" s="9">
        <v>74</v>
      </c>
      <c r="G44" s="9">
        <f t="shared" si="0"/>
        <v>74.8</v>
      </c>
      <c r="H44" s="8"/>
    </row>
    <row r="45" spans="1:8" ht="22.5" customHeight="1">
      <c r="A45" s="8" t="s">
        <v>15</v>
      </c>
      <c r="B45" s="8" t="str">
        <f>"赵润思"</f>
        <v>赵润思</v>
      </c>
      <c r="C45" s="8" t="str">
        <f>"340123199803056075"</f>
        <v>340123199803056075</v>
      </c>
      <c r="D45" s="8" t="str">
        <f>"20200300213"</f>
        <v>20200300213</v>
      </c>
      <c r="E45" s="9">
        <v>0</v>
      </c>
      <c r="F45" s="9">
        <v>0</v>
      </c>
      <c r="G45" s="9">
        <f t="shared" si="0"/>
        <v>0</v>
      </c>
      <c r="H45" s="8" t="s">
        <v>10</v>
      </c>
    </row>
    <row r="46" spans="1:8" ht="22.5" customHeight="1">
      <c r="A46" s="8" t="s">
        <v>16</v>
      </c>
      <c r="B46" s="8" t="str">
        <f>"朱璇"</f>
        <v>朱璇</v>
      </c>
      <c r="C46" s="8" t="str">
        <f>"341127199608241829"</f>
        <v>341127199608241829</v>
      </c>
      <c r="D46" s="8" t="str">
        <f>"20200300214"</f>
        <v>20200300214</v>
      </c>
      <c r="E46" s="9">
        <v>53.2</v>
      </c>
      <c r="F46" s="9">
        <v>71</v>
      </c>
      <c r="G46" s="9">
        <f t="shared" si="0"/>
        <v>124.2</v>
      </c>
      <c r="H46" s="8"/>
    </row>
    <row r="47" spans="1:8" ht="22.5" customHeight="1">
      <c r="A47" s="8" t="s">
        <v>16</v>
      </c>
      <c r="B47" s="8" t="str">
        <f>"蒋姗姗"</f>
        <v>蒋姗姗</v>
      </c>
      <c r="C47" s="8" t="str">
        <f>"341126199701107361"</f>
        <v>341126199701107361</v>
      </c>
      <c r="D47" s="8" t="str">
        <f>"20200300215"</f>
        <v>20200300215</v>
      </c>
      <c r="E47" s="9">
        <v>56.3</v>
      </c>
      <c r="F47" s="9">
        <v>67.5</v>
      </c>
      <c r="G47" s="9">
        <f t="shared" si="0"/>
        <v>123.8</v>
      </c>
      <c r="H47" s="8"/>
    </row>
    <row r="48" spans="1:8" ht="22.5" customHeight="1">
      <c r="A48" s="8" t="s">
        <v>17</v>
      </c>
      <c r="B48" s="8" t="str">
        <f>"杨栓柱"</f>
        <v>杨栓柱</v>
      </c>
      <c r="C48" s="8" t="str">
        <f>"341182199408014810"</f>
        <v>341182199408014810</v>
      </c>
      <c r="D48" s="8" t="str">
        <f>"20200300219"</f>
        <v>20200300219</v>
      </c>
      <c r="E48" s="9">
        <v>69.8</v>
      </c>
      <c r="F48" s="9">
        <v>73</v>
      </c>
      <c r="G48" s="9">
        <f t="shared" si="0"/>
        <v>142.8</v>
      </c>
      <c r="H48" s="8"/>
    </row>
    <row r="49" spans="1:8" ht="22.5" customHeight="1">
      <c r="A49" s="8" t="s">
        <v>17</v>
      </c>
      <c r="B49" s="8" t="str">
        <f>"吴业丹"</f>
        <v>吴业丹</v>
      </c>
      <c r="C49" s="8" t="str">
        <f>"341182199509182426"</f>
        <v>341182199509182426</v>
      </c>
      <c r="D49" s="8" t="str">
        <f>"20200300217"</f>
        <v>20200300217</v>
      </c>
      <c r="E49" s="9">
        <v>65.7</v>
      </c>
      <c r="F49" s="9">
        <v>69.5</v>
      </c>
      <c r="G49" s="9">
        <f t="shared" si="0"/>
        <v>135.2</v>
      </c>
      <c r="H49" s="8"/>
    </row>
    <row r="50" spans="1:8" ht="22.5" customHeight="1">
      <c r="A50" s="8" t="s">
        <v>17</v>
      </c>
      <c r="B50" s="8" t="str">
        <f>"胡旭东"</f>
        <v>胡旭东</v>
      </c>
      <c r="C50" s="8" t="str">
        <f>"341182199701050415"</f>
        <v>341182199701050415</v>
      </c>
      <c r="D50" s="8" t="str">
        <f>"20200300221"</f>
        <v>20200300221</v>
      </c>
      <c r="E50" s="9">
        <v>63.6</v>
      </c>
      <c r="F50" s="9">
        <v>70</v>
      </c>
      <c r="G50" s="9">
        <f t="shared" si="0"/>
        <v>133.6</v>
      </c>
      <c r="H50" s="8"/>
    </row>
    <row r="51" spans="1:8" ht="22.5" customHeight="1">
      <c r="A51" s="8" t="s">
        <v>17</v>
      </c>
      <c r="B51" s="8" t="str">
        <f>"寻宝宝"</f>
        <v>寻宝宝</v>
      </c>
      <c r="C51" s="8" t="str">
        <f>"341182199710083841"</f>
        <v>341182199710083841</v>
      </c>
      <c r="D51" s="8" t="str">
        <f>"20200300220"</f>
        <v>20200300220</v>
      </c>
      <c r="E51" s="9">
        <v>63.2</v>
      </c>
      <c r="F51" s="9">
        <v>67.5</v>
      </c>
      <c r="G51" s="9">
        <f t="shared" si="0"/>
        <v>130.7</v>
      </c>
      <c r="H51" s="8"/>
    </row>
    <row r="52" spans="1:8" ht="22.5" customHeight="1">
      <c r="A52" s="8" t="s">
        <v>17</v>
      </c>
      <c r="B52" s="8" t="str">
        <f>"王翠翠"</f>
        <v>王翠翠</v>
      </c>
      <c r="C52" s="8" t="str">
        <f>"341182199903314423"</f>
        <v>341182199903314423</v>
      </c>
      <c r="D52" s="8" t="str">
        <f>"20200300218"</f>
        <v>20200300218</v>
      </c>
      <c r="E52" s="9">
        <v>54.6</v>
      </c>
      <c r="F52" s="9">
        <v>71.5</v>
      </c>
      <c r="G52" s="9">
        <f t="shared" si="0"/>
        <v>126.1</v>
      </c>
      <c r="H52" s="8"/>
    </row>
    <row r="53" spans="1:8" ht="22.5" customHeight="1">
      <c r="A53" s="8" t="s">
        <v>17</v>
      </c>
      <c r="B53" s="8" t="str">
        <f>"常光辉"</f>
        <v>常光辉</v>
      </c>
      <c r="C53" s="8" t="str">
        <f>"341182199506251035"</f>
        <v>341182199506251035</v>
      </c>
      <c r="D53" s="8" t="str">
        <f>"20200300216"</f>
        <v>20200300216</v>
      </c>
      <c r="E53" s="9">
        <v>58.2</v>
      </c>
      <c r="F53" s="9">
        <v>64</v>
      </c>
      <c r="G53" s="9">
        <f t="shared" si="0"/>
        <v>122.2</v>
      </c>
      <c r="H53" s="8"/>
    </row>
    <row r="54" spans="1:8" ht="22.5" customHeight="1">
      <c r="A54" s="8" t="s">
        <v>17</v>
      </c>
      <c r="B54" s="8" t="str">
        <f>"刁其文"</f>
        <v>刁其文</v>
      </c>
      <c r="C54" s="8" t="str">
        <f>"341126199702107718"</f>
        <v>341126199702107718</v>
      </c>
      <c r="D54" s="8" t="str">
        <f>"20200300223"</f>
        <v>20200300223</v>
      </c>
      <c r="E54" s="9">
        <v>49.1</v>
      </c>
      <c r="F54" s="9">
        <v>69</v>
      </c>
      <c r="G54" s="9">
        <f t="shared" si="0"/>
        <v>118.1</v>
      </c>
      <c r="H54" s="8"/>
    </row>
    <row r="55" spans="1:8" ht="22.5" customHeight="1">
      <c r="A55" s="8" t="s">
        <v>17</v>
      </c>
      <c r="B55" s="8" t="str">
        <f>"顾明源"</f>
        <v>顾明源</v>
      </c>
      <c r="C55" s="8" t="str">
        <f>"341182199612200039"</f>
        <v>341182199612200039</v>
      </c>
      <c r="D55" s="8" t="str">
        <f>"20200300222"</f>
        <v>20200300222</v>
      </c>
      <c r="E55" s="9">
        <v>45.7</v>
      </c>
      <c r="F55" s="9">
        <v>69</v>
      </c>
      <c r="G55" s="9">
        <f t="shared" si="0"/>
        <v>114.7</v>
      </c>
      <c r="H55" s="8"/>
    </row>
    <row r="56" spans="1:8" ht="22.5" customHeight="1">
      <c r="A56" s="8" t="s">
        <v>18</v>
      </c>
      <c r="B56" s="8" t="str">
        <f>"张虎"</f>
        <v>张虎</v>
      </c>
      <c r="C56" s="8" t="str">
        <f>"341126199706180410"</f>
        <v>341126199706180410</v>
      </c>
      <c r="D56" s="8" t="str">
        <f>"20200300224"</f>
        <v>20200300224</v>
      </c>
      <c r="E56" s="9">
        <v>57.7</v>
      </c>
      <c r="F56" s="9">
        <v>71.5</v>
      </c>
      <c r="G56" s="9">
        <f t="shared" si="0"/>
        <v>129.2</v>
      </c>
      <c r="H56" s="8"/>
    </row>
    <row r="57" spans="1:8" ht="22.5" customHeight="1">
      <c r="A57" s="8" t="s">
        <v>18</v>
      </c>
      <c r="B57" s="8" t="str">
        <f>"张瑞雪"</f>
        <v>张瑞雪</v>
      </c>
      <c r="C57" s="8" t="str">
        <f>"34032219960116008X"</f>
        <v>34032219960116008X</v>
      </c>
      <c r="D57" s="8" t="str">
        <f>"20200300225"</f>
        <v>20200300225</v>
      </c>
      <c r="E57" s="9">
        <v>51.4</v>
      </c>
      <c r="F57" s="9">
        <v>75.5</v>
      </c>
      <c r="G57" s="9">
        <f t="shared" si="0"/>
        <v>126.9</v>
      </c>
      <c r="H57" s="8"/>
    </row>
    <row r="58" spans="1:8" ht="22.5" customHeight="1">
      <c r="A58" s="8" t="s">
        <v>18</v>
      </c>
      <c r="B58" s="8" t="str">
        <f>"刘畅"</f>
        <v>刘畅</v>
      </c>
      <c r="C58" s="8" t="str">
        <f>"341126199511131539"</f>
        <v>341126199511131539</v>
      </c>
      <c r="D58" s="8" t="str">
        <f>"20200300226"</f>
        <v>20200300226</v>
      </c>
      <c r="E58" s="9">
        <v>0</v>
      </c>
      <c r="F58" s="9">
        <v>0</v>
      </c>
      <c r="G58" s="9">
        <f t="shared" si="0"/>
        <v>0</v>
      </c>
      <c r="H58" s="8" t="s">
        <v>10</v>
      </c>
    </row>
    <row r="59" spans="1:8" ht="22.5" customHeight="1">
      <c r="A59" s="8" t="s">
        <v>18</v>
      </c>
      <c r="B59" s="8" t="str">
        <f>"金旭"</f>
        <v>金旭</v>
      </c>
      <c r="C59" s="8" t="str">
        <f>"340321199609100317"</f>
        <v>340321199609100317</v>
      </c>
      <c r="D59" s="8" t="str">
        <f>"20200300227"</f>
        <v>20200300227</v>
      </c>
      <c r="E59" s="9">
        <v>0</v>
      </c>
      <c r="F59" s="9">
        <v>0</v>
      </c>
      <c r="G59" s="9">
        <f t="shared" si="0"/>
        <v>0</v>
      </c>
      <c r="H59" s="8" t="s">
        <v>10</v>
      </c>
    </row>
    <row r="60" spans="1:8" ht="22.5" customHeight="1">
      <c r="A60" s="8" t="s">
        <v>19</v>
      </c>
      <c r="B60" s="8" t="str">
        <f>"陈盈兵"</f>
        <v>陈盈兵</v>
      </c>
      <c r="C60" s="8" t="str">
        <f>"341182199210172012"</f>
        <v>341182199210172012</v>
      </c>
      <c r="D60" s="8" t="str">
        <f>"20200300407"</f>
        <v>20200300407</v>
      </c>
      <c r="E60" s="9">
        <v>74.2</v>
      </c>
      <c r="F60" s="9">
        <v>70.5</v>
      </c>
      <c r="G60" s="9">
        <f t="shared" si="0"/>
        <v>144.7</v>
      </c>
      <c r="H60" s="8"/>
    </row>
    <row r="61" spans="1:8" ht="22.5" customHeight="1">
      <c r="A61" s="8" t="s">
        <v>19</v>
      </c>
      <c r="B61" s="8" t="str">
        <f>"董飒飒"</f>
        <v>董飒飒</v>
      </c>
      <c r="C61" s="8" t="str">
        <f>"34118219931010202X"</f>
        <v>34118219931010202X</v>
      </c>
      <c r="D61" s="8" t="str">
        <f>"20200300313"</f>
        <v>20200300313</v>
      </c>
      <c r="E61" s="9">
        <v>71.7</v>
      </c>
      <c r="F61" s="9">
        <v>71.5</v>
      </c>
      <c r="G61" s="9">
        <f t="shared" si="0"/>
        <v>143.2</v>
      </c>
      <c r="H61" s="8"/>
    </row>
    <row r="62" spans="1:8" ht="22.5" customHeight="1">
      <c r="A62" s="8" t="s">
        <v>19</v>
      </c>
      <c r="B62" s="8" t="str">
        <f>"缪昊元"</f>
        <v>缪昊元</v>
      </c>
      <c r="C62" s="8" t="str">
        <f>"341182199408280449"</f>
        <v>341182199408280449</v>
      </c>
      <c r="D62" s="8" t="str">
        <f>"20200300417"</f>
        <v>20200300417</v>
      </c>
      <c r="E62" s="9">
        <v>70.7</v>
      </c>
      <c r="F62" s="9">
        <v>71</v>
      </c>
      <c r="G62" s="9">
        <f t="shared" si="0"/>
        <v>141.7</v>
      </c>
      <c r="H62" s="8"/>
    </row>
    <row r="63" spans="1:8" ht="22.5" customHeight="1">
      <c r="A63" s="8" t="s">
        <v>19</v>
      </c>
      <c r="B63" s="8" t="str">
        <f>"孙传芮"</f>
        <v>孙传芮</v>
      </c>
      <c r="C63" s="8" t="str">
        <f>"341182199505172626"</f>
        <v>341182199505172626</v>
      </c>
      <c r="D63" s="8" t="str">
        <f>"20200300230"</f>
        <v>20200300230</v>
      </c>
      <c r="E63" s="9">
        <v>68.7</v>
      </c>
      <c r="F63" s="9">
        <v>72.5</v>
      </c>
      <c r="G63" s="9">
        <f t="shared" si="0"/>
        <v>141.2</v>
      </c>
      <c r="H63" s="8"/>
    </row>
    <row r="64" spans="1:8" ht="22.5" customHeight="1">
      <c r="A64" s="8" t="s">
        <v>19</v>
      </c>
      <c r="B64" s="8" t="str">
        <f>"杨旭"</f>
        <v>杨旭</v>
      </c>
      <c r="C64" s="8" t="str">
        <f>"341182198910120227"</f>
        <v>341182198910120227</v>
      </c>
      <c r="D64" s="8" t="str">
        <f>"20200300309"</f>
        <v>20200300309</v>
      </c>
      <c r="E64" s="9">
        <v>64.7</v>
      </c>
      <c r="F64" s="9">
        <v>75</v>
      </c>
      <c r="G64" s="9">
        <f t="shared" si="0"/>
        <v>139.7</v>
      </c>
      <c r="H64" s="8"/>
    </row>
    <row r="65" spans="1:8" ht="22.5" customHeight="1">
      <c r="A65" s="8" t="s">
        <v>19</v>
      </c>
      <c r="B65" s="8" t="str">
        <f>"张博"</f>
        <v>张博</v>
      </c>
      <c r="C65" s="8" t="str">
        <f>"341126199405106719"</f>
        <v>341126199405106719</v>
      </c>
      <c r="D65" s="8" t="str">
        <f>"20200300408"</f>
        <v>20200300408</v>
      </c>
      <c r="E65" s="9">
        <v>67.6</v>
      </c>
      <c r="F65" s="9">
        <v>71.5</v>
      </c>
      <c r="G65" s="9">
        <f t="shared" si="0"/>
        <v>139.1</v>
      </c>
      <c r="H65" s="8"/>
    </row>
    <row r="66" spans="1:8" ht="22.5" customHeight="1">
      <c r="A66" s="8" t="s">
        <v>19</v>
      </c>
      <c r="B66" s="8" t="str">
        <f>"王若琛"</f>
        <v>王若琛</v>
      </c>
      <c r="C66" s="8" t="str">
        <f>"341182199409080027"</f>
        <v>341182199409080027</v>
      </c>
      <c r="D66" s="8" t="str">
        <f>"20200300321"</f>
        <v>20200300321</v>
      </c>
      <c r="E66" s="9">
        <v>63.8</v>
      </c>
      <c r="F66" s="9">
        <v>75</v>
      </c>
      <c r="G66" s="9">
        <f t="shared" si="0"/>
        <v>138.8</v>
      </c>
      <c r="H66" s="8"/>
    </row>
    <row r="67" spans="1:8" ht="22.5" customHeight="1">
      <c r="A67" s="8" t="s">
        <v>19</v>
      </c>
      <c r="B67" s="8" t="str">
        <f>"郎超"</f>
        <v>郎超</v>
      </c>
      <c r="C67" s="8" t="str">
        <f>"342625199110101998"</f>
        <v>342625199110101998</v>
      </c>
      <c r="D67" s="8" t="str">
        <f>"20200300418"</f>
        <v>20200300418</v>
      </c>
      <c r="E67" s="9">
        <v>59.6</v>
      </c>
      <c r="F67" s="9">
        <v>77</v>
      </c>
      <c r="G67" s="9">
        <f aca="true" t="shared" si="1" ref="G67:G130">E67+F67</f>
        <v>136.6</v>
      </c>
      <c r="H67" s="8"/>
    </row>
    <row r="68" spans="1:8" ht="22.5" customHeight="1">
      <c r="A68" s="8" t="s">
        <v>19</v>
      </c>
      <c r="B68" s="8" t="str">
        <f>"王志鹏"</f>
        <v>王志鹏</v>
      </c>
      <c r="C68" s="8" t="str">
        <f>"340602199211060017"</f>
        <v>340602199211060017</v>
      </c>
      <c r="D68" s="8" t="str">
        <f>"20200300402"</f>
        <v>20200300402</v>
      </c>
      <c r="E68" s="9">
        <v>69.3</v>
      </c>
      <c r="F68" s="9">
        <v>67</v>
      </c>
      <c r="G68" s="9">
        <f t="shared" si="1"/>
        <v>136.3</v>
      </c>
      <c r="H68" s="8"/>
    </row>
    <row r="69" spans="1:8" ht="22.5" customHeight="1">
      <c r="A69" s="8" t="s">
        <v>19</v>
      </c>
      <c r="B69" s="8" t="str">
        <f>"王晨"</f>
        <v>王晨</v>
      </c>
      <c r="C69" s="8" t="str">
        <f>"341222199301159189"</f>
        <v>341222199301159189</v>
      </c>
      <c r="D69" s="8" t="str">
        <f>"20200300325"</f>
        <v>20200300325</v>
      </c>
      <c r="E69" s="9">
        <v>57.6</v>
      </c>
      <c r="F69" s="9">
        <v>76.5</v>
      </c>
      <c r="G69" s="9">
        <f t="shared" si="1"/>
        <v>134.1</v>
      </c>
      <c r="H69" s="8"/>
    </row>
    <row r="70" spans="1:8" ht="22.5" customHeight="1">
      <c r="A70" s="8" t="s">
        <v>19</v>
      </c>
      <c r="B70" s="8" t="str">
        <f>"何静"</f>
        <v>何静</v>
      </c>
      <c r="C70" s="8" t="str">
        <f>"341182199410201623"</f>
        <v>341182199410201623</v>
      </c>
      <c r="D70" s="8" t="str">
        <f>"20200300406"</f>
        <v>20200300406</v>
      </c>
      <c r="E70" s="9">
        <v>59.9</v>
      </c>
      <c r="F70" s="9">
        <v>73.5</v>
      </c>
      <c r="G70" s="9">
        <f t="shared" si="1"/>
        <v>133.4</v>
      </c>
      <c r="H70" s="8"/>
    </row>
    <row r="71" spans="1:8" ht="22.5" customHeight="1">
      <c r="A71" s="8" t="s">
        <v>19</v>
      </c>
      <c r="B71" s="8" t="str">
        <f>"杨静"</f>
        <v>杨静</v>
      </c>
      <c r="C71" s="8" t="str">
        <f>"341102199509246221"</f>
        <v>341102199509246221</v>
      </c>
      <c r="D71" s="8" t="str">
        <f>"20200300307"</f>
        <v>20200300307</v>
      </c>
      <c r="E71" s="9">
        <v>62</v>
      </c>
      <c r="F71" s="9">
        <v>71</v>
      </c>
      <c r="G71" s="9">
        <f t="shared" si="1"/>
        <v>133</v>
      </c>
      <c r="H71" s="8"/>
    </row>
    <row r="72" spans="1:8" ht="22.5" customHeight="1">
      <c r="A72" s="8" t="s">
        <v>19</v>
      </c>
      <c r="B72" s="8" t="str">
        <f>"杨露"</f>
        <v>杨露</v>
      </c>
      <c r="C72" s="8" t="str">
        <f>"341182199306042618"</f>
        <v>341182199306042618</v>
      </c>
      <c r="D72" s="8" t="str">
        <f>"20200300323"</f>
        <v>20200300323</v>
      </c>
      <c r="E72" s="9">
        <v>57.8</v>
      </c>
      <c r="F72" s="9">
        <v>75</v>
      </c>
      <c r="G72" s="9">
        <f t="shared" si="1"/>
        <v>132.8</v>
      </c>
      <c r="H72" s="8"/>
    </row>
    <row r="73" spans="1:8" ht="22.5" customHeight="1">
      <c r="A73" s="8" t="s">
        <v>19</v>
      </c>
      <c r="B73" s="8" t="str">
        <f>"吴杨杨"</f>
        <v>吴杨杨</v>
      </c>
      <c r="C73" s="8" t="str">
        <f>"341182198802070023"</f>
        <v>341182198802070023</v>
      </c>
      <c r="D73" s="8" t="str">
        <f>"20200300229"</f>
        <v>20200300229</v>
      </c>
      <c r="E73" s="9">
        <v>62.6</v>
      </c>
      <c r="F73" s="9">
        <v>69.5</v>
      </c>
      <c r="G73" s="9">
        <f t="shared" si="1"/>
        <v>132.1</v>
      </c>
      <c r="H73" s="8"/>
    </row>
    <row r="74" spans="1:8" ht="22.5" customHeight="1">
      <c r="A74" s="8" t="s">
        <v>19</v>
      </c>
      <c r="B74" s="8" t="str">
        <f>"马震"</f>
        <v>马震</v>
      </c>
      <c r="C74" s="8" t="str">
        <f>"340303199304280414"</f>
        <v>340303199304280414</v>
      </c>
      <c r="D74" s="8" t="str">
        <f>"20200300416"</f>
        <v>20200300416</v>
      </c>
      <c r="E74" s="9">
        <v>57.9</v>
      </c>
      <c r="F74" s="9">
        <v>74</v>
      </c>
      <c r="G74" s="9">
        <f t="shared" si="1"/>
        <v>131.9</v>
      </c>
      <c r="H74" s="8"/>
    </row>
    <row r="75" spans="1:8" ht="22.5" customHeight="1">
      <c r="A75" s="8" t="s">
        <v>19</v>
      </c>
      <c r="B75" s="8" t="str">
        <f>"吴波"</f>
        <v>吴波</v>
      </c>
      <c r="C75" s="8" t="str">
        <f>"341126199203296518"</f>
        <v>341126199203296518</v>
      </c>
      <c r="D75" s="8" t="str">
        <f>"20200300324"</f>
        <v>20200300324</v>
      </c>
      <c r="E75" s="9">
        <v>61.3</v>
      </c>
      <c r="F75" s="9">
        <v>70.5</v>
      </c>
      <c r="G75" s="9">
        <f t="shared" si="1"/>
        <v>131.8</v>
      </c>
      <c r="H75" s="8"/>
    </row>
    <row r="76" spans="1:8" ht="22.5" customHeight="1">
      <c r="A76" s="8" t="s">
        <v>19</v>
      </c>
      <c r="B76" s="8" t="str">
        <f>"李薇"</f>
        <v>李薇</v>
      </c>
      <c r="C76" s="8" t="str">
        <f>"341182199506176426"</f>
        <v>341182199506176426</v>
      </c>
      <c r="D76" s="8" t="str">
        <f>"20200300401"</f>
        <v>20200300401</v>
      </c>
      <c r="E76" s="9">
        <v>63.6</v>
      </c>
      <c r="F76" s="9">
        <v>67</v>
      </c>
      <c r="G76" s="9">
        <f t="shared" si="1"/>
        <v>130.6</v>
      </c>
      <c r="H76" s="8"/>
    </row>
    <row r="77" spans="1:8" ht="22.5" customHeight="1">
      <c r="A77" s="8" t="s">
        <v>19</v>
      </c>
      <c r="B77" s="8" t="str">
        <f>"陈晨"</f>
        <v>陈晨</v>
      </c>
      <c r="C77" s="8" t="str">
        <f>"34052119860823204X"</f>
        <v>34052119860823204X</v>
      </c>
      <c r="D77" s="8" t="str">
        <f>"20200300311"</f>
        <v>20200300311</v>
      </c>
      <c r="E77" s="9">
        <v>63.9</v>
      </c>
      <c r="F77" s="9">
        <v>66.5</v>
      </c>
      <c r="G77" s="9">
        <f t="shared" si="1"/>
        <v>130.4</v>
      </c>
      <c r="H77" s="8"/>
    </row>
    <row r="78" spans="1:8" ht="22.5" customHeight="1">
      <c r="A78" s="8" t="s">
        <v>19</v>
      </c>
      <c r="B78" s="8" t="str">
        <f>"周波"</f>
        <v>周波</v>
      </c>
      <c r="C78" s="8" t="str">
        <f>"341182199604253210"</f>
        <v>341182199604253210</v>
      </c>
      <c r="D78" s="8" t="str">
        <f>"20200300419"</f>
        <v>20200300419</v>
      </c>
      <c r="E78" s="9">
        <v>63.7</v>
      </c>
      <c r="F78" s="9">
        <v>66.5</v>
      </c>
      <c r="G78" s="9">
        <f t="shared" si="1"/>
        <v>130.2</v>
      </c>
      <c r="H78" s="8"/>
    </row>
    <row r="79" spans="1:8" ht="22.5" customHeight="1">
      <c r="A79" s="8" t="s">
        <v>19</v>
      </c>
      <c r="B79" s="8" t="str">
        <f>"岑兆军"</f>
        <v>岑兆军</v>
      </c>
      <c r="C79" s="8" t="str">
        <f>"340304198710280614"</f>
        <v>340304198710280614</v>
      </c>
      <c r="D79" s="8" t="str">
        <f>"20200300423"</f>
        <v>20200300423</v>
      </c>
      <c r="E79" s="9">
        <v>59.1</v>
      </c>
      <c r="F79" s="9">
        <v>71</v>
      </c>
      <c r="G79" s="9">
        <f t="shared" si="1"/>
        <v>130.1</v>
      </c>
      <c r="H79" s="8"/>
    </row>
    <row r="80" spans="1:8" ht="22.5" customHeight="1">
      <c r="A80" s="8" t="s">
        <v>19</v>
      </c>
      <c r="B80" s="8" t="str">
        <f>"徐庆月"</f>
        <v>徐庆月</v>
      </c>
      <c r="C80" s="8" t="str">
        <f>"341181198706204611"</f>
        <v>341181198706204611</v>
      </c>
      <c r="D80" s="8" t="str">
        <f>"20200300328"</f>
        <v>20200300328</v>
      </c>
      <c r="E80" s="9">
        <v>59</v>
      </c>
      <c r="F80" s="9">
        <v>71</v>
      </c>
      <c r="G80" s="9">
        <f t="shared" si="1"/>
        <v>130</v>
      </c>
      <c r="H80" s="8"/>
    </row>
    <row r="81" spans="1:8" ht="22.5" customHeight="1">
      <c r="A81" s="8" t="s">
        <v>19</v>
      </c>
      <c r="B81" s="8" t="str">
        <f>"桑秀秀"</f>
        <v>桑秀秀</v>
      </c>
      <c r="C81" s="8" t="str">
        <f>"341182199201203227"</f>
        <v>341182199201203227</v>
      </c>
      <c r="D81" s="8" t="str">
        <f>"20200300425"</f>
        <v>20200300425</v>
      </c>
      <c r="E81" s="9">
        <v>60.7</v>
      </c>
      <c r="F81" s="9">
        <v>68</v>
      </c>
      <c r="G81" s="9">
        <f t="shared" si="1"/>
        <v>128.7</v>
      </c>
      <c r="H81" s="8"/>
    </row>
    <row r="82" spans="1:8" ht="22.5" customHeight="1">
      <c r="A82" s="8" t="s">
        <v>19</v>
      </c>
      <c r="B82" s="8" t="str">
        <f>"刘义超"</f>
        <v>刘义超</v>
      </c>
      <c r="C82" s="8" t="str">
        <f>"341126198511122814"</f>
        <v>341126198511122814</v>
      </c>
      <c r="D82" s="8" t="str">
        <f>"20200300404"</f>
        <v>20200300404</v>
      </c>
      <c r="E82" s="9">
        <v>62.8</v>
      </c>
      <c r="F82" s="9">
        <v>65</v>
      </c>
      <c r="G82" s="9">
        <f t="shared" si="1"/>
        <v>127.8</v>
      </c>
      <c r="H82" s="8"/>
    </row>
    <row r="83" spans="1:8" ht="22.5" customHeight="1">
      <c r="A83" s="8" t="s">
        <v>19</v>
      </c>
      <c r="B83" s="8" t="str">
        <f>"谢峰"</f>
        <v>谢峰</v>
      </c>
      <c r="C83" s="8" t="str">
        <f>"320682199410037950"</f>
        <v>320682199410037950</v>
      </c>
      <c r="D83" s="8" t="str">
        <f>"20200300308"</f>
        <v>20200300308</v>
      </c>
      <c r="E83" s="9">
        <v>57.6</v>
      </c>
      <c r="F83" s="9">
        <v>69</v>
      </c>
      <c r="G83" s="9">
        <f t="shared" si="1"/>
        <v>126.6</v>
      </c>
      <c r="H83" s="8"/>
    </row>
    <row r="84" spans="1:8" ht="22.5" customHeight="1">
      <c r="A84" s="8" t="s">
        <v>19</v>
      </c>
      <c r="B84" s="8" t="str">
        <f>"魏袁袁"</f>
        <v>魏袁袁</v>
      </c>
      <c r="C84" s="8" t="str">
        <f>"341182199607240220"</f>
        <v>341182199607240220</v>
      </c>
      <c r="D84" s="8" t="str">
        <f>"20200300228"</f>
        <v>20200300228</v>
      </c>
      <c r="E84" s="9">
        <v>53.4</v>
      </c>
      <c r="F84" s="9">
        <v>72</v>
      </c>
      <c r="G84" s="9">
        <f t="shared" si="1"/>
        <v>125.4</v>
      </c>
      <c r="H84" s="8"/>
    </row>
    <row r="85" spans="1:8" ht="22.5" customHeight="1">
      <c r="A85" s="8" t="s">
        <v>19</v>
      </c>
      <c r="B85" s="8" t="str">
        <f>"张超"</f>
        <v>张超</v>
      </c>
      <c r="C85" s="8" t="str">
        <f>"341103199209124819"</f>
        <v>341103199209124819</v>
      </c>
      <c r="D85" s="8" t="str">
        <f>"20200300312"</f>
        <v>20200300312</v>
      </c>
      <c r="E85" s="9">
        <v>54.2</v>
      </c>
      <c r="F85" s="9">
        <v>70.5</v>
      </c>
      <c r="G85" s="9">
        <f t="shared" si="1"/>
        <v>124.7</v>
      </c>
      <c r="H85" s="8"/>
    </row>
    <row r="86" spans="1:8" ht="22.5" customHeight="1">
      <c r="A86" s="8" t="s">
        <v>19</v>
      </c>
      <c r="B86" s="8" t="str">
        <f>"朱文亮"</f>
        <v>朱文亮</v>
      </c>
      <c r="C86" s="8" t="str">
        <f>"341182199301210053"</f>
        <v>341182199301210053</v>
      </c>
      <c r="D86" s="8" t="str">
        <f>"20200300302"</f>
        <v>20200300302</v>
      </c>
      <c r="E86" s="9">
        <v>53.3</v>
      </c>
      <c r="F86" s="9">
        <v>71</v>
      </c>
      <c r="G86" s="9">
        <f t="shared" si="1"/>
        <v>124.3</v>
      </c>
      <c r="H86" s="8"/>
    </row>
    <row r="87" spans="1:8" ht="22.5" customHeight="1">
      <c r="A87" s="8" t="s">
        <v>19</v>
      </c>
      <c r="B87" s="8" t="str">
        <f>"陈梅"</f>
        <v>陈梅</v>
      </c>
      <c r="C87" s="8" t="str">
        <f>"341125198901158840"</f>
        <v>341125198901158840</v>
      </c>
      <c r="D87" s="8" t="str">
        <f>"20200300320"</f>
        <v>20200300320</v>
      </c>
      <c r="E87" s="9">
        <v>52.3</v>
      </c>
      <c r="F87" s="9">
        <v>72</v>
      </c>
      <c r="G87" s="9">
        <f t="shared" si="1"/>
        <v>124.3</v>
      </c>
      <c r="H87" s="8"/>
    </row>
    <row r="88" spans="1:8" ht="22.5" customHeight="1">
      <c r="A88" s="8" t="s">
        <v>19</v>
      </c>
      <c r="B88" s="8" t="str">
        <f>"柴龙"</f>
        <v>柴龙</v>
      </c>
      <c r="C88" s="8" t="str">
        <f>"341182199308050611"</f>
        <v>341182199308050611</v>
      </c>
      <c r="D88" s="8" t="str">
        <f>"20200300304"</f>
        <v>20200300304</v>
      </c>
      <c r="E88" s="9">
        <v>54.1</v>
      </c>
      <c r="F88" s="9">
        <v>70</v>
      </c>
      <c r="G88" s="9">
        <f t="shared" si="1"/>
        <v>124.1</v>
      </c>
      <c r="H88" s="8"/>
    </row>
    <row r="89" spans="1:8" ht="22.5" customHeight="1">
      <c r="A89" s="8" t="s">
        <v>19</v>
      </c>
      <c r="B89" s="8" t="str">
        <f>"毕玉珠"</f>
        <v>毕玉珠</v>
      </c>
      <c r="C89" s="8" t="str">
        <f>"341181199110061618"</f>
        <v>341181199110061618</v>
      </c>
      <c r="D89" s="8" t="str">
        <f>"20200300310"</f>
        <v>20200300310</v>
      </c>
      <c r="E89" s="9">
        <v>51.5</v>
      </c>
      <c r="F89" s="9">
        <v>72.5</v>
      </c>
      <c r="G89" s="9">
        <f t="shared" si="1"/>
        <v>124</v>
      </c>
      <c r="H89" s="8"/>
    </row>
    <row r="90" spans="1:8" ht="22.5" customHeight="1">
      <c r="A90" s="8" t="s">
        <v>19</v>
      </c>
      <c r="B90" s="8" t="str">
        <f>"江玉莹"</f>
        <v>江玉莹</v>
      </c>
      <c r="C90" s="8" t="str">
        <f>"341182199409042629"</f>
        <v>341182199409042629</v>
      </c>
      <c r="D90" s="8" t="str">
        <f>"20200300322"</f>
        <v>20200300322</v>
      </c>
      <c r="E90" s="9">
        <v>57</v>
      </c>
      <c r="F90" s="9">
        <v>66.5</v>
      </c>
      <c r="G90" s="9">
        <f t="shared" si="1"/>
        <v>123.5</v>
      </c>
      <c r="H90" s="8"/>
    </row>
    <row r="91" spans="1:8" ht="22.5" customHeight="1">
      <c r="A91" s="8" t="s">
        <v>19</v>
      </c>
      <c r="B91" s="8" t="str">
        <f>"宋瑜"</f>
        <v>宋瑜</v>
      </c>
      <c r="C91" s="8" t="str">
        <f>"341182199305220224"</f>
        <v>341182199305220224</v>
      </c>
      <c r="D91" s="8" t="str">
        <f>"20200300422"</f>
        <v>20200300422</v>
      </c>
      <c r="E91" s="9">
        <v>51.4</v>
      </c>
      <c r="F91" s="9">
        <v>71.5</v>
      </c>
      <c r="G91" s="9">
        <f t="shared" si="1"/>
        <v>122.9</v>
      </c>
      <c r="H91" s="8"/>
    </row>
    <row r="92" spans="1:8" ht="22.5" customHeight="1">
      <c r="A92" s="8" t="s">
        <v>19</v>
      </c>
      <c r="B92" s="8" t="str">
        <f>"李坤"</f>
        <v>李坤</v>
      </c>
      <c r="C92" s="8" t="str">
        <f>"341182199105220238"</f>
        <v>341182199105220238</v>
      </c>
      <c r="D92" s="8" t="str">
        <f>"20200300420"</f>
        <v>20200300420</v>
      </c>
      <c r="E92" s="9">
        <v>50.7</v>
      </c>
      <c r="F92" s="9">
        <v>72</v>
      </c>
      <c r="G92" s="9">
        <f t="shared" si="1"/>
        <v>122.7</v>
      </c>
      <c r="H92" s="8"/>
    </row>
    <row r="93" spans="1:8" ht="22.5" customHeight="1">
      <c r="A93" s="8" t="s">
        <v>19</v>
      </c>
      <c r="B93" s="8" t="str">
        <f>"程文才"</f>
        <v>程文才</v>
      </c>
      <c r="C93" s="8" t="str">
        <f>"341182199004062613"</f>
        <v>341182199004062613</v>
      </c>
      <c r="D93" s="8" t="str">
        <f>"20200300315"</f>
        <v>20200300315</v>
      </c>
      <c r="E93" s="9">
        <v>52.3</v>
      </c>
      <c r="F93" s="9">
        <v>70</v>
      </c>
      <c r="G93" s="9">
        <f t="shared" si="1"/>
        <v>122.3</v>
      </c>
      <c r="H93" s="8"/>
    </row>
    <row r="94" spans="1:8" ht="22.5" customHeight="1">
      <c r="A94" s="8" t="s">
        <v>19</v>
      </c>
      <c r="B94" s="8" t="str">
        <f>"杨凌宇"</f>
        <v>杨凌宇</v>
      </c>
      <c r="C94" s="8" t="str">
        <f>"34118219960524261X"</f>
        <v>34118219960524261X</v>
      </c>
      <c r="D94" s="8" t="str">
        <f>"20200300330"</f>
        <v>20200300330</v>
      </c>
      <c r="E94" s="9">
        <v>53.8</v>
      </c>
      <c r="F94" s="9">
        <v>67</v>
      </c>
      <c r="G94" s="9">
        <f t="shared" si="1"/>
        <v>120.8</v>
      </c>
      <c r="H94" s="8"/>
    </row>
    <row r="95" spans="1:8" ht="22.5" customHeight="1">
      <c r="A95" s="8" t="s">
        <v>19</v>
      </c>
      <c r="B95" s="8" t="str">
        <f>"王松"</f>
        <v>王松</v>
      </c>
      <c r="C95" s="8" t="str">
        <f>"341182198610143419"</f>
        <v>341182198610143419</v>
      </c>
      <c r="D95" s="8" t="str">
        <f>"20200300410"</f>
        <v>20200300410</v>
      </c>
      <c r="E95" s="9">
        <v>53.7</v>
      </c>
      <c r="F95" s="9">
        <v>67</v>
      </c>
      <c r="G95" s="9">
        <f t="shared" si="1"/>
        <v>120.7</v>
      </c>
      <c r="H95" s="8"/>
    </row>
    <row r="96" spans="1:8" ht="22.5" customHeight="1">
      <c r="A96" s="8" t="s">
        <v>19</v>
      </c>
      <c r="B96" s="8" t="str">
        <f>"夏荣玉"</f>
        <v>夏荣玉</v>
      </c>
      <c r="C96" s="8" t="str">
        <f>"341182199605205827"</f>
        <v>341182199605205827</v>
      </c>
      <c r="D96" s="8" t="str">
        <f>"20200300405"</f>
        <v>20200300405</v>
      </c>
      <c r="E96" s="9">
        <v>49.4</v>
      </c>
      <c r="F96" s="9">
        <v>70.5</v>
      </c>
      <c r="G96" s="9">
        <f t="shared" si="1"/>
        <v>119.9</v>
      </c>
      <c r="H96" s="8"/>
    </row>
    <row r="97" spans="1:8" ht="22.5" customHeight="1">
      <c r="A97" s="8" t="s">
        <v>19</v>
      </c>
      <c r="B97" s="8" t="str">
        <f>"何允书"</f>
        <v>何允书</v>
      </c>
      <c r="C97" s="8" t="str">
        <f>"341181198712281816"</f>
        <v>341181198712281816</v>
      </c>
      <c r="D97" s="8" t="str">
        <f>"20200300319"</f>
        <v>20200300319</v>
      </c>
      <c r="E97" s="9">
        <v>51.7</v>
      </c>
      <c r="F97" s="9">
        <v>68</v>
      </c>
      <c r="G97" s="9">
        <f t="shared" si="1"/>
        <v>119.7</v>
      </c>
      <c r="H97" s="8"/>
    </row>
    <row r="98" spans="1:8" ht="22.5" customHeight="1">
      <c r="A98" s="8" t="s">
        <v>19</v>
      </c>
      <c r="B98" s="8" t="str">
        <f>"王廷煜"</f>
        <v>王廷煜</v>
      </c>
      <c r="C98" s="8" t="str">
        <f>"341182199003144625"</f>
        <v>341182199003144625</v>
      </c>
      <c r="D98" s="8" t="str">
        <f>"20200300421"</f>
        <v>20200300421</v>
      </c>
      <c r="E98" s="9">
        <v>52.7</v>
      </c>
      <c r="F98" s="9">
        <v>67</v>
      </c>
      <c r="G98" s="9">
        <f t="shared" si="1"/>
        <v>119.7</v>
      </c>
      <c r="H98" s="8"/>
    </row>
    <row r="99" spans="1:8" ht="22.5" customHeight="1">
      <c r="A99" s="8" t="s">
        <v>19</v>
      </c>
      <c r="B99" s="8" t="str">
        <f>"卢姗姗"</f>
        <v>卢姗姗</v>
      </c>
      <c r="C99" s="8" t="str">
        <f>"341126199003106927"</f>
        <v>341126199003106927</v>
      </c>
      <c r="D99" s="8" t="str">
        <f>"20200300314"</f>
        <v>20200300314</v>
      </c>
      <c r="E99" s="9">
        <v>56.1</v>
      </c>
      <c r="F99" s="9">
        <v>63.5</v>
      </c>
      <c r="G99" s="9">
        <f t="shared" si="1"/>
        <v>119.6</v>
      </c>
      <c r="H99" s="8"/>
    </row>
    <row r="100" spans="1:8" ht="22.5" customHeight="1">
      <c r="A100" s="8" t="s">
        <v>19</v>
      </c>
      <c r="B100" s="8" t="str">
        <f>"梁菊"</f>
        <v>梁菊</v>
      </c>
      <c r="C100" s="8" t="str">
        <f>"341182199310023065"</f>
        <v>341182199310023065</v>
      </c>
      <c r="D100" s="8" t="str">
        <f>"20200300327"</f>
        <v>20200300327</v>
      </c>
      <c r="E100" s="9">
        <v>46.8</v>
      </c>
      <c r="F100" s="9">
        <v>70</v>
      </c>
      <c r="G100" s="9">
        <f t="shared" si="1"/>
        <v>116.8</v>
      </c>
      <c r="H100" s="8"/>
    </row>
    <row r="101" spans="1:8" ht="22.5" customHeight="1">
      <c r="A101" s="8" t="s">
        <v>19</v>
      </c>
      <c r="B101" s="8" t="str">
        <f>"汤慧靓"</f>
        <v>汤慧靓</v>
      </c>
      <c r="C101" s="8" t="str">
        <f>"341182199312280225"</f>
        <v>341182199312280225</v>
      </c>
      <c r="D101" s="8" t="str">
        <f>"20200300415"</f>
        <v>20200300415</v>
      </c>
      <c r="E101" s="9">
        <v>42.5</v>
      </c>
      <c r="F101" s="9">
        <v>72.5</v>
      </c>
      <c r="G101" s="9">
        <f t="shared" si="1"/>
        <v>115</v>
      </c>
      <c r="H101" s="8"/>
    </row>
    <row r="102" spans="1:8" ht="22.5" customHeight="1">
      <c r="A102" s="8" t="s">
        <v>19</v>
      </c>
      <c r="B102" s="8" t="str">
        <f>"张猛"</f>
        <v>张猛</v>
      </c>
      <c r="C102" s="8" t="str">
        <f>"341182199303083035"</f>
        <v>341182199303083035</v>
      </c>
      <c r="D102" s="8" t="str">
        <f>"20200300303"</f>
        <v>20200300303</v>
      </c>
      <c r="E102" s="9">
        <v>42.9</v>
      </c>
      <c r="F102" s="9">
        <v>70</v>
      </c>
      <c r="G102" s="9">
        <f t="shared" si="1"/>
        <v>112.9</v>
      </c>
      <c r="H102" s="8"/>
    </row>
    <row r="103" spans="1:8" ht="22.5" customHeight="1">
      <c r="A103" s="8" t="s">
        <v>19</v>
      </c>
      <c r="B103" s="8" t="str">
        <f>"吴建鸿"</f>
        <v>吴建鸿</v>
      </c>
      <c r="C103" s="8" t="str">
        <f>"341181199306260037"</f>
        <v>341181199306260037</v>
      </c>
      <c r="D103" s="8" t="str">
        <f>"20200300409"</f>
        <v>20200300409</v>
      </c>
      <c r="E103" s="9">
        <v>42.5</v>
      </c>
      <c r="F103" s="9">
        <v>69.5</v>
      </c>
      <c r="G103" s="9">
        <f t="shared" si="1"/>
        <v>112</v>
      </c>
      <c r="H103" s="8"/>
    </row>
    <row r="104" spans="1:8" ht="22.5" customHeight="1">
      <c r="A104" s="8" t="s">
        <v>19</v>
      </c>
      <c r="B104" s="8" t="str">
        <f>"黄庆忠"</f>
        <v>黄庆忠</v>
      </c>
      <c r="C104" s="8" t="str">
        <f>"341122199107270013"</f>
        <v>341122199107270013</v>
      </c>
      <c r="D104" s="8" t="str">
        <f>"20200300305"</f>
        <v>20200300305</v>
      </c>
      <c r="E104" s="9">
        <v>44.5</v>
      </c>
      <c r="F104" s="9">
        <v>67</v>
      </c>
      <c r="G104" s="9">
        <f t="shared" si="1"/>
        <v>111.5</v>
      </c>
      <c r="H104" s="8"/>
    </row>
    <row r="105" spans="1:8" ht="22.5" customHeight="1">
      <c r="A105" s="8" t="s">
        <v>19</v>
      </c>
      <c r="B105" s="8" t="str">
        <f>"张妍"</f>
        <v>张妍</v>
      </c>
      <c r="C105" s="8" t="str">
        <f>"341102199410060427"</f>
        <v>341102199410060427</v>
      </c>
      <c r="D105" s="8" t="str">
        <f>"20200300317"</f>
        <v>20200300317</v>
      </c>
      <c r="E105" s="9">
        <v>43.7</v>
      </c>
      <c r="F105" s="9">
        <v>67.5</v>
      </c>
      <c r="G105" s="9">
        <f t="shared" si="1"/>
        <v>111.2</v>
      </c>
      <c r="H105" s="8"/>
    </row>
    <row r="106" spans="1:8" ht="22.5" customHeight="1">
      <c r="A106" s="8" t="s">
        <v>19</v>
      </c>
      <c r="B106" s="8" t="str">
        <f>"岳鹏飞"</f>
        <v>岳鹏飞</v>
      </c>
      <c r="C106" s="8" t="str">
        <f>"320830199601100216"</f>
        <v>320830199601100216</v>
      </c>
      <c r="D106" s="8" t="str">
        <f>"20200300411"</f>
        <v>20200300411</v>
      </c>
      <c r="E106" s="9">
        <v>44.6</v>
      </c>
      <c r="F106" s="9">
        <v>59.5</v>
      </c>
      <c r="G106" s="9">
        <f t="shared" si="1"/>
        <v>104.1</v>
      </c>
      <c r="H106" s="8"/>
    </row>
    <row r="107" spans="1:8" ht="22.5" customHeight="1">
      <c r="A107" s="8" t="s">
        <v>19</v>
      </c>
      <c r="B107" s="8" t="str">
        <f>"吕丹丹"</f>
        <v>吕丹丹</v>
      </c>
      <c r="C107" s="8" t="str">
        <f>"341182199202044221"</f>
        <v>341182199202044221</v>
      </c>
      <c r="D107" s="8" t="str">
        <f>"20200300306"</f>
        <v>20200300306</v>
      </c>
      <c r="E107" s="9">
        <v>48.4</v>
      </c>
      <c r="F107" s="9">
        <v>41</v>
      </c>
      <c r="G107" s="9">
        <f t="shared" si="1"/>
        <v>89.4</v>
      </c>
      <c r="H107" s="8"/>
    </row>
    <row r="108" spans="1:8" ht="22.5" customHeight="1">
      <c r="A108" s="8" t="s">
        <v>19</v>
      </c>
      <c r="B108" s="8" t="str">
        <f>"郑茂佳"</f>
        <v>郑茂佳</v>
      </c>
      <c r="C108" s="8" t="str">
        <f>"341182199502052231"</f>
        <v>341182199502052231</v>
      </c>
      <c r="D108" s="8" t="str">
        <f>"20200300413"</f>
        <v>20200300413</v>
      </c>
      <c r="E108" s="9">
        <v>38</v>
      </c>
      <c r="F108" s="9">
        <v>13</v>
      </c>
      <c r="G108" s="9">
        <f t="shared" si="1"/>
        <v>51</v>
      </c>
      <c r="H108" s="8"/>
    </row>
    <row r="109" spans="1:8" ht="22.5" customHeight="1">
      <c r="A109" s="8" t="s">
        <v>19</v>
      </c>
      <c r="B109" s="8" t="str">
        <f>"阙胜涛"</f>
        <v>阙胜涛</v>
      </c>
      <c r="C109" s="8" t="str">
        <f>"460003199105277213"</f>
        <v>460003199105277213</v>
      </c>
      <c r="D109" s="8" t="str">
        <f>"20200300301"</f>
        <v>20200300301</v>
      </c>
      <c r="E109" s="9">
        <v>0</v>
      </c>
      <c r="F109" s="9">
        <v>0</v>
      </c>
      <c r="G109" s="9">
        <f t="shared" si="1"/>
        <v>0</v>
      </c>
      <c r="H109" s="8" t="s">
        <v>10</v>
      </c>
    </row>
    <row r="110" spans="1:8" ht="22.5" customHeight="1">
      <c r="A110" s="8" t="s">
        <v>19</v>
      </c>
      <c r="B110" s="8" t="str">
        <f>"刘亮"</f>
        <v>刘亮</v>
      </c>
      <c r="C110" s="8" t="str">
        <f>"320902198703187514"</f>
        <v>320902198703187514</v>
      </c>
      <c r="D110" s="8" t="str">
        <f>"20200300316"</f>
        <v>20200300316</v>
      </c>
      <c r="E110" s="9">
        <v>0</v>
      </c>
      <c r="F110" s="9">
        <v>0</v>
      </c>
      <c r="G110" s="9">
        <f t="shared" si="1"/>
        <v>0</v>
      </c>
      <c r="H110" s="8" t="s">
        <v>10</v>
      </c>
    </row>
    <row r="111" spans="1:8" ht="22.5" customHeight="1">
      <c r="A111" s="8" t="s">
        <v>19</v>
      </c>
      <c r="B111" s="8" t="str">
        <f>"刘芊"</f>
        <v>刘芊</v>
      </c>
      <c r="C111" s="8" t="str">
        <f>"321088198910043777"</f>
        <v>321088198910043777</v>
      </c>
      <c r="D111" s="8" t="str">
        <f>"20200300318"</f>
        <v>20200300318</v>
      </c>
      <c r="E111" s="9">
        <v>0</v>
      </c>
      <c r="F111" s="9">
        <v>0</v>
      </c>
      <c r="G111" s="9">
        <f t="shared" si="1"/>
        <v>0</v>
      </c>
      <c r="H111" s="8" t="s">
        <v>10</v>
      </c>
    </row>
    <row r="112" spans="1:8" ht="22.5" customHeight="1">
      <c r="A112" s="8" t="s">
        <v>19</v>
      </c>
      <c r="B112" s="8" t="str">
        <f>"王千羽"</f>
        <v>王千羽</v>
      </c>
      <c r="C112" s="8" t="str">
        <f>"320683199610266746"</f>
        <v>320683199610266746</v>
      </c>
      <c r="D112" s="8" t="str">
        <f>"20200300326"</f>
        <v>20200300326</v>
      </c>
      <c r="E112" s="9">
        <v>0</v>
      </c>
      <c r="F112" s="9">
        <v>0</v>
      </c>
      <c r="G112" s="9">
        <f t="shared" si="1"/>
        <v>0</v>
      </c>
      <c r="H112" s="8" t="s">
        <v>10</v>
      </c>
    </row>
    <row r="113" spans="1:8" ht="22.5" customHeight="1">
      <c r="A113" s="8" t="s">
        <v>19</v>
      </c>
      <c r="B113" s="8" t="str">
        <f>"陈旭"</f>
        <v>陈旭</v>
      </c>
      <c r="C113" s="8" t="str">
        <f>"341122199305230039"</f>
        <v>341122199305230039</v>
      </c>
      <c r="D113" s="8" t="str">
        <f>"20200300329"</f>
        <v>20200300329</v>
      </c>
      <c r="E113" s="9">
        <v>0</v>
      </c>
      <c r="F113" s="9">
        <v>0</v>
      </c>
      <c r="G113" s="9">
        <f t="shared" si="1"/>
        <v>0</v>
      </c>
      <c r="H113" s="8" t="s">
        <v>10</v>
      </c>
    </row>
    <row r="114" spans="1:8" ht="22.5" customHeight="1">
      <c r="A114" s="8" t="s">
        <v>19</v>
      </c>
      <c r="B114" s="8" t="str">
        <f>"宣红诚"</f>
        <v>宣红诚</v>
      </c>
      <c r="C114" s="8" t="str">
        <f>"341181199505111018"</f>
        <v>341181199505111018</v>
      </c>
      <c r="D114" s="8" t="str">
        <f>"20200300403"</f>
        <v>20200300403</v>
      </c>
      <c r="E114" s="9">
        <v>0</v>
      </c>
      <c r="F114" s="9">
        <v>0</v>
      </c>
      <c r="G114" s="9">
        <f t="shared" si="1"/>
        <v>0</v>
      </c>
      <c r="H114" s="8" t="s">
        <v>10</v>
      </c>
    </row>
    <row r="115" spans="1:8" ht="22.5" customHeight="1">
      <c r="A115" s="8" t="s">
        <v>19</v>
      </c>
      <c r="B115" s="8" t="str">
        <f>"杜元瑾"</f>
        <v>杜元瑾</v>
      </c>
      <c r="C115" s="8" t="str">
        <f>"341182199210230219"</f>
        <v>341182199210230219</v>
      </c>
      <c r="D115" s="8" t="str">
        <f>"20200300412"</f>
        <v>20200300412</v>
      </c>
      <c r="E115" s="9">
        <v>0</v>
      </c>
      <c r="F115" s="9">
        <v>0</v>
      </c>
      <c r="G115" s="9">
        <f t="shared" si="1"/>
        <v>0</v>
      </c>
      <c r="H115" s="8" t="s">
        <v>10</v>
      </c>
    </row>
    <row r="116" spans="1:8" ht="22.5" customHeight="1">
      <c r="A116" s="8" t="s">
        <v>19</v>
      </c>
      <c r="B116" s="8" t="str">
        <f>"赵龙"</f>
        <v>赵龙</v>
      </c>
      <c r="C116" s="8" t="str">
        <f>"341126199708161512"</f>
        <v>341126199708161512</v>
      </c>
      <c r="D116" s="8" t="str">
        <f>"20200300414"</f>
        <v>20200300414</v>
      </c>
      <c r="E116" s="9">
        <v>0</v>
      </c>
      <c r="F116" s="9">
        <v>0</v>
      </c>
      <c r="G116" s="9">
        <f t="shared" si="1"/>
        <v>0</v>
      </c>
      <c r="H116" s="8" t="s">
        <v>10</v>
      </c>
    </row>
    <row r="117" spans="1:8" ht="22.5" customHeight="1">
      <c r="A117" s="8" t="s">
        <v>19</v>
      </c>
      <c r="B117" s="8" t="str">
        <f>"郑妍妍"</f>
        <v>郑妍妍</v>
      </c>
      <c r="C117" s="8" t="str">
        <f>"341182199311043025"</f>
        <v>341182199311043025</v>
      </c>
      <c r="D117" s="8" t="str">
        <f>"20200300424"</f>
        <v>20200300424</v>
      </c>
      <c r="E117" s="9">
        <v>0</v>
      </c>
      <c r="F117" s="9">
        <v>0</v>
      </c>
      <c r="G117" s="9">
        <f t="shared" si="1"/>
        <v>0</v>
      </c>
      <c r="H117" s="8" t="s">
        <v>10</v>
      </c>
    </row>
    <row r="118" spans="1:8" ht="22.5" customHeight="1">
      <c r="A118" s="8" t="s">
        <v>19</v>
      </c>
      <c r="B118" s="8" t="str">
        <f>"袁亮"</f>
        <v>袁亮</v>
      </c>
      <c r="C118" s="8" t="str">
        <f>"341125198707116313"</f>
        <v>341125198707116313</v>
      </c>
      <c r="D118" s="8" t="str">
        <f>"20200300426"</f>
        <v>20200300426</v>
      </c>
      <c r="E118" s="9">
        <v>0</v>
      </c>
      <c r="F118" s="9">
        <v>0</v>
      </c>
      <c r="G118" s="9">
        <f t="shared" si="1"/>
        <v>0</v>
      </c>
      <c r="H118" s="8" t="s">
        <v>10</v>
      </c>
    </row>
    <row r="119" spans="1:8" ht="22.5" customHeight="1">
      <c r="A119" s="8" t="s">
        <v>19</v>
      </c>
      <c r="B119" s="8" t="str">
        <f>"周理波"</f>
        <v>周理波</v>
      </c>
      <c r="C119" s="8" t="str">
        <f>"342422199509136359"</f>
        <v>342422199509136359</v>
      </c>
      <c r="D119" s="8" t="str">
        <f>"20200300427"</f>
        <v>20200300427</v>
      </c>
      <c r="E119" s="9">
        <v>0</v>
      </c>
      <c r="F119" s="9">
        <v>0</v>
      </c>
      <c r="G119" s="9">
        <f t="shared" si="1"/>
        <v>0</v>
      </c>
      <c r="H119" s="8" t="s">
        <v>10</v>
      </c>
    </row>
    <row r="120" spans="1:8" ht="22.5" customHeight="1">
      <c r="A120" s="8" t="s">
        <v>20</v>
      </c>
      <c r="B120" s="8" t="str">
        <f>"郑金波"</f>
        <v>郑金波</v>
      </c>
      <c r="C120" s="8" t="str">
        <f>"421126199809181117"</f>
        <v>421126199809181117</v>
      </c>
      <c r="D120" s="8" t="str">
        <f>"20200300506"</f>
        <v>20200300506</v>
      </c>
      <c r="E120" s="9">
        <v>65.5</v>
      </c>
      <c r="F120" s="9">
        <v>71.5</v>
      </c>
      <c r="G120" s="9">
        <f t="shared" si="1"/>
        <v>137</v>
      </c>
      <c r="H120" s="8"/>
    </row>
    <row r="121" spans="1:8" ht="22.5" customHeight="1">
      <c r="A121" s="8" t="s">
        <v>20</v>
      </c>
      <c r="B121" s="8" t="str">
        <f>"张从玲"</f>
        <v>张从玲</v>
      </c>
      <c r="C121" s="8" t="str">
        <f>"341124199805120429"</f>
        <v>341124199805120429</v>
      </c>
      <c r="D121" s="8" t="str">
        <f>"20200300505"</f>
        <v>20200300505</v>
      </c>
      <c r="E121" s="9">
        <v>62.2</v>
      </c>
      <c r="F121" s="9">
        <v>72</v>
      </c>
      <c r="G121" s="9">
        <f t="shared" si="1"/>
        <v>134.2</v>
      </c>
      <c r="H121" s="8"/>
    </row>
    <row r="122" spans="1:8" ht="22.5" customHeight="1">
      <c r="A122" s="8" t="s">
        <v>20</v>
      </c>
      <c r="B122" s="8" t="str">
        <f>"薛盈东"</f>
        <v>薛盈东</v>
      </c>
      <c r="C122" s="8" t="str">
        <f>"341182199610010637"</f>
        <v>341182199610010637</v>
      </c>
      <c r="D122" s="8" t="str">
        <f>"20200300503"</f>
        <v>20200300503</v>
      </c>
      <c r="E122" s="9">
        <v>53.9</v>
      </c>
      <c r="F122" s="9">
        <v>73</v>
      </c>
      <c r="G122" s="9">
        <f t="shared" si="1"/>
        <v>126.9</v>
      </c>
      <c r="H122" s="8"/>
    </row>
    <row r="123" spans="1:8" ht="22.5" customHeight="1">
      <c r="A123" s="8" t="s">
        <v>20</v>
      </c>
      <c r="B123" s="8" t="str">
        <f>"何雨菁"</f>
        <v>何雨菁</v>
      </c>
      <c r="C123" s="8" t="str">
        <f>"341102199706076225"</f>
        <v>341102199706076225</v>
      </c>
      <c r="D123" s="8" t="str">
        <f>"20200300429"</f>
        <v>20200300429</v>
      </c>
      <c r="E123" s="9">
        <v>55.8</v>
      </c>
      <c r="F123" s="9">
        <v>71</v>
      </c>
      <c r="G123" s="9">
        <f t="shared" si="1"/>
        <v>126.8</v>
      </c>
      <c r="H123" s="8"/>
    </row>
    <row r="124" spans="1:8" ht="22.5" customHeight="1">
      <c r="A124" s="8" t="s">
        <v>20</v>
      </c>
      <c r="B124" s="8" t="str">
        <f>"陈娇娇"</f>
        <v>陈娇娇</v>
      </c>
      <c r="C124" s="8" t="str">
        <f>"341182199705164620"</f>
        <v>341182199705164620</v>
      </c>
      <c r="D124" s="8" t="str">
        <f>"20200300428"</f>
        <v>20200300428</v>
      </c>
      <c r="E124" s="9">
        <v>43.3</v>
      </c>
      <c r="F124" s="9">
        <v>77</v>
      </c>
      <c r="G124" s="9">
        <f t="shared" si="1"/>
        <v>120.3</v>
      </c>
      <c r="H124" s="8"/>
    </row>
    <row r="125" spans="1:8" ht="22.5" customHeight="1">
      <c r="A125" s="8" t="s">
        <v>20</v>
      </c>
      <c r="B125" s="8" t="str">
        <f>"朱敏"</f>
        <v>朱敏</v>
      </c>
      <c r="C125" s="8" t="str">
        <f>"342224199712261720"</f>
        <v>342224199712261720</v>
      </c>
      <c r="D125" s="8" t="str">
        <f>"20200300430"</f>
        <v>20200300430</v>
      </c>
      <c r="E125" s="9">
        <v>43</v>
      </c>
      <c r="F125" s="9">
        <v>73</v>
      </c>
      <c r="G125" s="9">
        <f t="shared" si="1"/>
        <v>116</v>
      </c>
      <c r="H125" s="8"/>
    </row>
    <row r="126" spans="1:8" ht="22.5" customHeight="1">
      <c r="A126" s="8" t="s">
        <v>20</v>
      </c>
      <c r="B126" s="8" t="str">
        <f>"曹帅"</f>
        <v>曹帅</v>
      </c>
      <c r="C126" s="8" t="str">
        <f>"341182199612114819"</f>
        <v>341182199612114819</v>
      </c>
      <c r="D126" s="8" t="str">
        <f>"20200300502"</f>
        <v>20200300502</v>
      </c>
      <c r="E126" s="9">
        <v>43</v>
      </c>
      <c r="F126" s="9">
        <v>69</v>
      </c>
      <c r="G126" s="9">
        <f t="shared" si="1"/>
        <v>112</v>
      </c>
      <c r="H126" s="8"/>
    </row>
    <row r="127" spans="1:8" ht="22.5" customHeight="1">
      <c r="A127" s="8" t="s">
        <v>20</v>
      </c>
      <c r="B127" s="8" t="str">
        <f>"吴雨婷"</f>
        <v>吴雨婷</v>
      </c>
      <c r="C127" s="8" t="str">
        <f>"34118219970708304X"</f>
        <v>34118219970708304X</v>
      </c>
      <c r="D127" s="8" t="str">
        <f>"20200300501"</f>
        <v>20200300501</v>
      </c>
      <c r="E127" s="9">
        <v>0</v>
      </c>
      <c r="F127" s="9">
        <v>0</v>
      </c>
      <c r="G127" s="9">
        <f t="shared" si="1"/>
        <v>0</v>
      </c>
      <c r="H127" s="8" t="s">
        <v>10</v>
      </c>
    </row>
    <row r="128" spans="1:8" ht="22.5" customHeight="1">
      <c r="A128" s="8" t="s">
        <v>20</v>
      </c>
      <c r="B128" s="8" t="str">
        <f>"张建"</f>
        <v>张建</v>
      </c>
      <c r="C128" s="8" t="str">
        <f>"341182199601100438"</f>
        <v>341182199601100438</v>
      </c>
      <c r="D128" s="8" t="str">
        <f>"20200300504"</f>
        <v>20200300504</v>
      </c>
      <c r="E128" s="9">
        <v>0</v>
      </c>
      <c r="F128" s="9">
        <v>0</v>
      </c>
      <c r="G128" s="9">
        <f t="shared" si="1"/>
        <v>0</v>
      </c>
      <c r="H128" s="8" t="s">
        <v>10</v>
      </c>
    </row>
    <row r="129" spans="1:8" ht="22.5" customHeight="1">
      <c r="A129" s="8" t="s">
        <v>21</v>
      </c>
      <c r="B129" s="8" t="str">
        <f>"叶子婧"</f>
        <v>叶子婧</v>
      </c>
      <c r="C129" s="8" t="str">
        <f>"341102199804106627"</f>
        <v>341102199804106627</v>
      </c>
      <c r="D129" s="8" t="str">
        <f>"20200300510"</f>
        <v>20200300510</v>
      </c>
      <c r="E129" s="9">
        <v>64.8</v>
      </c>
      <c r="F129" s="9">
        <v>74.5</v>
      </c>
      <c r="G129" s="9">
        <f t="shared" si="1"/>
        <v>139.3</v>
      </c>
      <c r="H129" s="8"/>
    </row>
    <row r="130" spans="1:8" ht="22.5" customHeight="1">
      <c r="A130" s="8" t="s">
        <v>21</v>
      </c>
      <c r="B130" s="8" t="str">
        <f>"陈安妮"</f>
        <v>陈安妮</v>
      </c>
      <c r="C130" s="8" t="str">
        <f>"341182199611140425"</f>
        <v>341182199611140425</v>
      </c>
      <c r="D130" s="8" t="str">
        <f>"20200300507"</f>
        <v>20200300507</v>
      </c>
      <c r="E130" s="9">
        <v>60.5</v>
      </c>
      <c r="F130" s="9">
        <v>73</v>
      </c>
      <c r="G130" s="9">
        <f t="shared" si="1"/>
        <v>133.5</v>
      </c>
      <c r="H130" s="8"/>
    </row>
    <row r="131" spans="1:8" ht="22.5" customHeight="1">
      <c r="A131" s="8" t="s">
        <v>21</v>
      </c>
      <c r="B131" s="8" t="str">
        <f>"刘阳"</f>
        <v>刘阳</v>
      </c>
      <c r="C131" s="8" t="str">
        <f>"341182199602013619"</f>
        <v>341182199602013619</v>
      </c>
      <c r="D131" s="8" t="str">
        <f>"20200300508"</f>
        <v>20200300508</v>
      </c>
      <c r="E131" s="9">
        <v>61.3</v>
      </c>
      <c r="F131" s="9">
        <v>71</v>
      </c>
      <c r="G131" s="9">
        <f aca="true" t="shared" si="2" ref="G131:G194">E131+F131</f>
        <v>132.3</v>
      </c>
      <c r="H131" s="8"/>
    </row>
    <row r="132" spans="1:8" ht="22.5" customHeight="1">
      <c r="A132" s="8" t="s">
        <v>21</v>
      </c>
      <c r="B132" s="8" t="str">
        <f>"杨晓婷"</f>
        <v>杨晓婷</v>
      </c>
      <c r="C132" s="8" t="str">
        <f>"341182199611082229"</f>
        <v>341182199611082229</v>
      </c>
      <c r="D132" s="8" t="str">
        <f>"20200300512"</f>
        <v>20200300512</v>
      </c>
      <c r="E132" s="9">
        <v>56.8</v>
      </c>
      <c r="F132" s="9">
        <v>75</v>
      </c>
      <c r="G132" s="9">
        <f t="shared" si="2"/>
        <v>131.8</v>
      </c>
      <c r="H132" s="8"/>
    </row>
    <row r="133" spans="1:8" ht="22.5" customHeight="1">
      <c r="A133" s="8" t="s">
        <v>21</v>
      </c>
      <c r="B133" s="8" t="str">
        <f>"宋祖婷"</f>
        <v>宋祖婷</v>
      </c>
      <c r="C133" s="8" t="str">
        <f>"341126199512244025"</f>
        <v>341126199512244025</v>
      </c>
      <c r="D133" s="8" t="str">
        <f>"20200300509"</f>
        <v>20200300509</v>
      </c>
      <c r="E133" s="9">
        <v>50.4</v>
      </c>
      <c r="F133" s="9">
        <v>70</v>
      </c>
      <c r="G133" s="9">
        <f t="shared" si="2"/>
        <v>120.4</v>
      </c>
      <c r="H133" s="8"/>
    </row>
    <row r="134" spans="1:8" ht="22.5" customHeight="1">
      <c r="A134" s="8" t="s">
        <v>21</v>
      </c>
      <c r="B134" s="8" t="str">
        <f>"耿蝶"</f>
        <v>耿蝶</v>
      </c>
      <c r="C134" s="8" t="str">
        <f>"341126199602107067"</f>
        <v>341126199602107067</v>
      </c>
      <c r="D134" s="8" t="str">
        <f>"20200300511"</f>
        <v>20200300511</v>
      </c>
      <c r="E134" s="9">
        <v>0</v>
      </c>
      <c r="F134" s="9">
        <v>0</v>
      </c>
      <c r="G134" s="9">
        <f t="shared" si="2"/>
        <v>0</v>
      </c>
      <c r="H134" s="8" t="s">
        <v>10</v>
      </c>
    </row>
    <row r="135" spans="1:8" ht="22.5" customHeight="1">
      <c r="A135" s="8" t="s">
        <v>22</v>
      </c>
      <c r="B135" s="8" t="str">
        <f>"彭立新"</f>
        <v>彭立新</v>
      </c>
      <c r="C135" s="8" t="str">
        <f>"341182199609241016"</f>
        <v>341182199609241016</v>
      </c>
      <c r="D135" s="8" t="str">
        <f>"20200300514"</f>
        <v>20200300514</v>
      </c>
      <c r="E135" s="9">
        <v>61.4</v>
      </c>
      <c r="F135" s="9">
        <v>67.5</v>
      </c>
      <c r="G135" s="9">
        <f t="shared" si="2"/>
        <v>128.9</v>
      </c>
      <c r="H135" s="8"/>
    </row>
    <row r="136" spans="1:8" ht="22.5" customHeight="1">
      <c r="A136" s="8" t="s">
        <v>22</v>
      </c>
      <c r="B136" s="8" t="str">
        <f>"吴雪梅"</f>
        <v>吴雪梅</v>
      </c>
      <c r="C136" s="8" t="str">
        <f>"34118219971102224X"</f>
        <v>34118219971102224X</v>
      </c>
      <c r="D136" s="8" t="str">
        <f>"20200300513"</f>
        <v>20200300513</v>
      </c>
      <c r="E136" s="9">
        <v>49.7</v>
      </c>
      <c r="F136" s="9">
        <v>75</v>
      </c>
      <c r="G136" s="9">
        <f t="shared" si="2"/>
        <v>124.7</v>
      </c>
      <c r="H136" s="8"/>
    </row>
    <row r="137" spans="1:8" ht="22.5" customHeight="1">
      <c r="A137" s="8" t="s">
        <v>22</v>
      </c>
      <c r="B137" s="8" t="str">
        <f>"孙雨婷"</f>
        <v>孙雨婷</v>
      </c>
      <c r="C137" s="8" t="str">
        <f>"341182199804140026"</f>
        <v>341182199804140026</v>
      </c>
      <c r="D137" s="8" t="str">
        <f>"20200300516"</f>
        <v>20200300516</v>
      </c>
      <c r="E137" s="9">
        <v>52.2</v>
      </c>
      <c r="F137" s="9">
        <v>71</v>
      </c>
      <c r="G137" s="9">
        <f t="shared" si="2"/>
        <v>123.2</v>
      </c>
      <c r="H137" s="8"/>
    </row>
    <row r="138" spans="1:8" ht="22.5" customHeight="1">
      <c r="A138" s="8" t="s">
        <v>22</v>
      </c>
      <c r="B138" s="8" t="str">
        <f>"刘昕"</f>
        <v>刘昕</v>
      </c>
      <c r="C138" s="8" t="str">
        <f>"341182199610150621"</f>
        <v>341182199610150621</v>
      </c>
      <c r="D138" s="8" t="str">
        <f>"20200300515"</f>
        <v>20200300515</v>
      </c>
      <c r="E138" s="9">
        <v>44.2</v>
      </c>
      <c r="F138" s="9">
        <v>70.5</v>
      </c>
      <c r="G138" s="9">
        <f t="shared" si="2"/>
        <v>114.7</v>
      </c>
      <c r="H138" s="8"/>
    </row>
    <row r="139" spans="1:8" ht="22.5" customHeight="1">
      <c r="A139" s="8" t="s">
        <v>23</v>
      </c>
      <c r="B139" s="8" t="str">
        <f>"赵武旭"</f>
        <v>赵武旭</v>
      </c>
      <c r="C139" s="8" t="str">
        <f>"341182199711240247"</f>
        <v>341182199711240247</v>
      </c>
      <c r="D139" s="8" t="str">
        <f>"20200300519"</f>
        <v>20200300519</v>
      </c>
      <c r="E139" s="9">
        <v>78.5</v>
      </c>
      <c r="F139" s="9">
        <v>74</v>
      </c>
      <c r="G139" s="9">
        <f t="shared" si="2"/>
        <v>152.5</v>
      </c>
      <c r="H139" s="8"/>
    </row>
    <row r="140" spans="1:8" ht="22.5" customHeight="1">
      <c r="A140" s="8" t="s">
        <v>23</v>
      </c>
      <c r="B140" s="8" t="str">
        <f>"刘琳"</f>
        <v>刘琳</v>
      </c>
      <c r="C140" s="8" t="str">
        <f>"350424199701051622"</f>
        <v>350424199701051622</v>
      </c>
      <c r="D140" s="8" t="str">
        <f>"20200300524"</f>
        <v>20200300524</v>
      </c>
      <c r="E140" s="9">
        <v>71.5</v>
      </c>
      <c r="F140" s="9">
        <v>79</v>
      </c>
      <c r="G140" s="9">
        <f t="shared" si="2"/>
        <v>150.5</v>
      </c>
      <c r="H140" s="8"/>
    </row>
    <row r="141" spans="1:8" ht="22.5" customHeight="1">
      <c r="A141" s="8" t="s">
        <v>23</v>
      </c>
      <c r="B141" s="8" t="str">
        <f>"郭以婷"</f>
        <v>郭以婷</v>
      </c>
      <c r="C141" s="8" t="str">
        <f>"341182199704072644"</f>
        <v>341182199704072644</v>
      </c>
      <c r="D141" s="8" t="str">
        <f>"20200300517"</f>
        <v>20200300517</v>
      </c>
      <c r="E141" s="9">
        <v>69</v>
      </c>
      <c r="F141" s="9">
        <v>71</v>
      </c>
      <c r="G141" s="9">
        <f t="shared" si="2"/>
        <v>140</v>
      </c>
      <c r="H141" s="8"/>
    </row>
    <row r="142" spans="1:8" ht="22.5" customHeight="1">
      <c r="A142" s="8" t="s">
        <v>23</v>
      </c>
      <c r="B142" s="8" t="str">
        <f>"胡文宇"</f>
        <v>胡文宇</v>
      </c>
      <c r="C142" s="8" t="str">
        <f>"341181199703120062"</f>
        <v>341181199703120062</v>
      </c>
      <c r="D142" s="8" t="str">
        <f>"20200300522"</f>
        <v>20200300522</v>
      </c>
      <c r="E142" s="9">
        <v>66.5</v>
      </c>
      <c r="F142" s="9">
        <v>73</v>
      </c>
      <c r="G142" s="9">
        <f t="shared" si="2"/>
        <v>139.5</v>
      </c>
      <c r="H142" s="8"/>
    </row>
    <row r="143" spans="1:8" ht="22.5" customHeight="1">
      <c r="A143" s="8" t="s">
        <v>23</v>
      </c>
      <c r="B143" s="8" t="str">
        <f>"李鹏飞"</f>
        <v>李鹏飞</v>
      </c>
      <c r="C143" s="8" t="str">
        <f>"34118119951108102X"</f>
        <v>34118119951108102X</v>
      </c>
      <c r="D143" s="8" t="str">
        <f>"20200300523"</f>
        <v>20200300523</v>
      </c>
      <c r="E143" s="9">
        <v>64.8</v>
      </c>
      <c r="F143" s="9">
        <v>74.5</v>
      </c>
      <c r="G143" s="9">
        <f t="shared" si="2"/>
        <v>139.3</v>
      </c>
      <c r="H143" s="8"/>
    </row>
    <row r="144" spans="1:8" ht="22.5" customHeight="1">
      <c r="A144" s="8" t="s">
        <v>23</v>
      </c>
      <c r="B144" s="8" t="str">
        <f>"张德育"</f>
        <v>张德育</v>
      </c>
      <c r="C144" s="8" t="str">
        <f>"341125199612120912"</f>
        <v>341125199612120912</v>
      </c>
      <c r="D144" s="8" t="str">
        <f>"20200300520"</f>
        <v>20200300520</v>
      </c>
      <c r="E144" s="9">
        <v>65.5</v>
      </c>
      <c r="F144" s="9">
        <v>71.5</v>
      </c>
      <c r="G144" s="9">
        <f t="shared" si="2"/>
        <v>137</v>
      </c>
      <c r="H144" s="8"/>
    </row>
    <row r="145" spans="1:8" ht="22.5" customHeight="1">
      <c r="A145" s="8" t="s">
        <v>23</v>
      </c>
      <c r="B145" s="8" t="str">
        <f>"李若男"</f>
        <v>李若男</v>
      </c>
      <c r="C145" s="8" t="str">
        <f>"341126199706027520"</f>
        <v>341126199706027520</v>
      </c>
      <c r="D145" s="8" t="str">
        <f>"20200300518"</f>
        <v>20200300518</v>
      </c>
      <c r="E145" s="9">
        <v>58.4</v>
      </c>
      <c r="F145" s="9">
        <v>70.5</v>
      </c>
      <c r="G145" s="9">
        <f t="shared" si="2"/>
        <v>128.9</v>
      </c>
      <c r="H145" s="8"/>
    </row>
    <row r="146" spans="1:8" ht="22.5" customHeight="1">
      <c r="A146" s="8" t="s">
        <v>23</v>
      </c>
      <c r="B146" s="8" t="str">
        <f>"李明想"</f>
        <v>李明想</v>
      </c>
      <c r="C146" s="8" t="str">
        <f>"341182199507193017"</f>
        <v>341182199507193017</v>
      </c>
      <c r="D146" s="8" t="str">
        <f>"20200300521"</f>
        <v>20200300521</v>
      </c>
      <c r="E146" s="9">
        <v>59.1</v>
      </c>
      <c r="F146" s="9">
        <v>68.5</v>
      </c>
      <c r="G146" s="9">
        <f t="shared" si="2"/>
        <v>127.6</v>
      </c>
      <c r="H146" s="8"/>
    </row>
    <row r="147" spans="1:8" ht="22.5" customHeight="1">
      <c r="A147" s="8" t="s">
        <v>23</v>
      </c>
      <c r="B147" s="8" t="str">
        <f>"刘婷婷"</f>
        <v>刘婷婷</v>
      </c>
      <c r="C147" s="8" t="str">
        <f>"340406199509073624"</f>
        <v>340406199509073624</v>
      </c>
      <c r="D147" s="8" t="str">
        <f>"20200300526"</f>
        <v>20200300526</v>
      </c>
      <c r="E147" s="9">
        <v>55.5</v>
      </c>
      <c r="F147" s="9">
        <v>68</v>
      </c>
      <c r="G147" s="9">
        <f t="shared" si="2"/>
        <v>123.5</v>
      </c>
      <c r="H147" s="8"/>
    </row>
    <row r="148" spans="1:8" ht="22.5" customHeight="1">
      <c r="A148" s="8" t="s">
        <v>23</v>
      </c>
      <c r="B148" s="8" t="str">
        <f>"辛雨"</f>
        <v>辛雨</v>
      </c>
      <c r="C148" s="8" t="str">
        <f>"341182199603244427"</f>
        <v>341182199603244427</v>
      </c>
      <c r="D148" s="8" t="str">
        <f>"20200300525"</f>
        <v>20200300525</v>
      </c>
      <c r="E148" s="9">
        <v>47.5</v>
      </c>
      <c r="F148" s="9">
        <v>69.5</v>
      </c>
      <c r="G148" s="9">
        <f t="shared" si="2"/>
        <v>117</v>
      </c>
      <c r="H148" s="8"/>
    </row>
    <row r="149" spans="1:8" ht="22.5" customHeight="1">
      <c r="A149" s="8" t="s">
        <v>24</v>
      </c>
      <c r="B149" s="8" t="str">
        <f>"蒋南"</f>
        <v>蒋南</v>
      </c>
      <c r="C149" s="8" t="str">
        <f>"34032219961016201X"</f>
        <v>34032219961016201X</v>
      </c>
      <c r="D149" s="8" t="str">
        <f>"20200300527"</f>
        <v>20200300527</v>
      </c>
      <c r="E149" s="9">
        <v>71.7</v>
      </c>
      <c r="F149" s="9">
        <v>73</v>
      </c>
      <c r="G149" s="9">
        <f t="shared" si="2"/>
        <v>144.7</v>
      </c>
      <c r="H149" s="8"/>
    </row>
    <row r="150" spans="1:8" ht="22.5" customHeight="1">
      <c r="A150" s="8" t="s">
        <v>24</v>
      </c>
      <c r="B150" s="8" t="str">
        <f>"谢宇"</f>
        <v>谢宇</v>
      </c>
      <c r="C150" s="8" t="str">
        <f>"350781199803266847"</f>
        <v>350781199803266847</v>
      </c>
      <c r="D150" s="8" t="str">
        <f>"20200300529"</f>
        <v>20200300529</v>
      </c>
      <c r="E150" s="9">
        <v>50.4</v>
      </c>
      <c r="F150" s="9">
        <v>70</v>
      </c>
      <c r="G150" s="9">
        <f t="shared" si="2"/>
        <v>120.4</v>
      </c>
      <c r="H150" s="8"/>
    </row>
    <row r="151" spans="1:8" ht="22.5" customHeight="1">
      <c r="A151" s="8" t="s">
        <v>24</v>
      </c>
      <c r="B151" s="8" t="str">
        <f>"胡学伟"</f>
        <v>胡学伟</v>
      </c>
      <c r="C151" s="8" t="str">
        <f>"341182199805065013"</f>
        <v>341182199805065013</v>
      </c>
      <c r="D151" s="8" t="str">
        <f>"20200300528"</f>
        <v>20200300528</v>
      </c>
      <c r="E151" s="9">
        <v>49.6</v>
      </c>
      <c r="F151" s="9">
        <v>70.5</v>
      </c>
      <c r="G151" s="9">
        <f t="shared" si="2"/>
        <v>120.1</v>
      </c>
      <c r="H151" s="8"/>
    </row>
    <row r="152" spans="1:8" ht="22.5" customHeight="1">
      <c r="A152" s="8" t="s">
        <v>24</v>
      </c>
      <c r="B152" s="8" t="str">
        <f>"张光泽"</f>
        <v>张光泽</v>
      </c>
      <c r="C152" s="8" t="str">
        <f>"340322199810250073"</f>
        <v>340322199810250073</v>
      </c>
      <c r="D152" s="8" t="str">
        <f>"20200300530"</f>
        <v>20200300530</v>
      </c>
      <c r="E152" s="9">
        <v>0</v>
      </c>
      <c r="F152" s="9">
        <v>0</v>
      </c>
      <c r="G152" s="9">
        <f t="shared" si="2"/>
        <v>0</v>
      </c>
      <c r="H152" s="8" t="s">
        <v>10</v>
      </c>
    </row>
    <row r="153" spans="1:8" ht="22.5" customHeight="1">
      <c r="A153" s="8" t="s">
        <v>25</v>
      </c>
      <c r="B153" s="8" t="str">
        <f>"杨文云"</f>
        <v>杨文云</v>
      </c>
      <c r="C153" s="8" t="str">
        <f>"341182199501213822"</f>
        <v>341182199501213822</v>
      </c>
      <c r="D153" s="8" t="str">
        <f>"20200300608"</f>
        <v>20200300608</v>
      </c>
      <c r="E153" s="9">
        <v>63.4</v>
      </c>
      <c r="F153" s="9">
        <v>73.5</v>
      </c>
      <c r="G153" s="9">
        <f t="shared" si="2"/>
        <v>136.9</v>
      </c>
      <c r="H153" s="8"/>
    </row>
    <row r="154" spans="1:8" ht="22.5" customHeight="1">
      <c r="A154" s="8" t="s">
        <v>25</v>
      </c>
      <c r="B154" s="8" t="str">
        <f>"薛艳"</f>
        <v>薛艳</v>
      </c>
      <c r="C154" s="8" t="str">
        <f>"341182199712272048"</f>
        <v>341182199712272048</v>
      </c>
      <c r="D154" s="8" t="str">
        <f>"20200300614"</f>
        <v>20200300614</v>
      </c>
      <c r="E154" s="9">
        <v>64.2</v>
      </c>
      <c r="F154" s="9">
        <v>72.5</v>
      </c>
      <c r="G154" s="9">
        <f t="shared" si="2"/>
        <v>136.7</v>
      </c>
      <c r="H154" s="8"/>
    </row>
    <row r="155" spans="1:8" ht="22.5" customHeight="1">
      <c r="A155" s="8" t="s">
        <v>25</v>
      </c>
      <c r="B155" s="8" t="str">
        <f>"王芳"</f>
        <v>王芳</v>
      </c>
      <c r="C155" s="8" t="str">
        <f>"341182199801166423"</f>
        <v>341182199801166423</v>
      </c>
      <c r="D155" s="8" t="str">
        <f>"20200300607"</f>
        <v>20200300607</v>
      </c>
      <c r="E155" s="9">
        <v>60</v>
      </c>
      <c r="F155" s="9">
        <v>70</v>
      </c>
      <c r="G155" s="9">
        <f t="shared" si="2"/>
        <v>130</v>
      </c>
      <c r="H155" s="8"/>
    </row>
    <row r="156" spans="1:8" ht="22.5" customHeight="1">
      <c r="A156" s="8" t="s">
        <v>25</v>
      </c>
      <c r="B156" s="8" t="str">
        <f>"刘晓芳"</f>
        <v>刘晓芳</v>
      </c>
      <c r="C156" s="8" t="str">
        <f>"341182199604053024"</f>
        <v>341182199604053024</v>
      </c>
      <c r="D156" s="8" t="str">
        <f>"20200300609"</f>
        <v>20200300609</v>
      </c>
      <c r="E156" s="9">
        <v>55</v>
      </c>
      <c r="F156" s="9">
        <v>73</v>
      </c>
      <c r="G156" s="9">
        <f t="shared" si="2"/>
        <v>128</v>
      </c>
      <c r="H156" s="8"/>
    </row>
    <row r="157" spans="1:8" ht="22.5" customHeight="1">
      <c r="A157" s="8" t="s">
        <v>25</v>
      </c>
      <c r="B157" s="8" t="str">
        <f>"王涛"</f>
        <v>王涛</v>
      </c>
      <c r="C157" s="8" t="str">
        <f>"341127199611132025"</f>
        <v>341127199611132025</v>
      </c>
      <c r="D157" s="8" t="str">
        <f>"20200300606"</f>
        <v>20200300606</v>
      </c>
      <c r="E157" s="9">
        <v>44.3</v>
      </c>
      <c r="F157" s="9">
        <v>78.5</v>
      </c>
      <c r="G157" s="9">
        <f t="shared" si="2"/>
        <v>122.8</v>
      </c>
      <c r="H157" s="8"/>
    </row>
    <row r="158" spans="1:8" ht="22.5" customHeight="1">
      <c r="A158" s="8" t="s">
        <v>25</v>
      </c>
      <c r="B158" s="8" t="str">
        <f>"卢占权"</f>
        <v>卢占权</v>
      </c>
      <c r="C158" s="8" t="str">
        <f>"34118219970824241X"</f>
        <v>34118219970824241X</v>
      </c>
      <c r="D158" s="8" t="str">
        <f>"20200300612"</f>
        <v>20200300612</v>
      </c>
      <c r="E158" s="9">
        <v>50.3</v>
      </c>
      <c r="F158" s="9">
        <v>71.5</v>
      </c>
      <c r="G158" s="9">
        <f t="shared" si="2"/>
        <v>121.8</v>
      </c>
      <c r="H158" s="8"/>
    </row>
    <row r="159" spans="1:8" ht="22.5" customHeight="1">
      <c r="A159" s="8" t="s">
        <v>25</v>
      </c>
      <c r="B159" s="8" t="str">
        <f>"吴越"</f>
        <v>吴越</v>
      </c>
      <c r="C159" s="8" t="str">
        <f>"341181199901035424"</f>
        <v>341181199901035424</v>
      </c>
      <c r="D159" s="8" t="str">
        <f>"20200300601"</f>
        <v>20200300601</v>
      </c>
      <c r="E159" s="9">
        <v>51.6</v>
      </c>
      <c r="F159" s="9">
        <v>68</v>
      </c>
      <c r="G159" s="9">
        <f t="shared" si="2"/>
        <v>119.6</v>
      </c>
      <c r="H159" s="8"/>
    </row>
    <row r="160" spans="1:8" ht="22.5" customHeight="1">
      <c r="A160" s="8" t="s">
        <v>25</v>
      </c>
      <c r="B160" s="8" t="str">
        <f>"张安敏"</f>
        <v>张安敏</v>
      </c>
      <c r="C160" s="8" t="str">
        <f>"341182199803126425"</f>
        <v>341182199803126425</v>
      </c>
      <c r="D160" s="8" t="str">
        <f>"20200300613"</f>
        <v>20200300613</v>
      </c>
      <c r="E160" s="9">
        <v>49.2</v>
      </c>
      <c r="F160" s="9">
        <v>68</v>
      </c>
      <c r="G160" s="9">
        <f t="shared" si="2"/>
        <v>117.2</v>
      </c>
      <c r="H160" s="8"/>
    </row>
    <row r="161" spans="1:8" ht="22.5" customHeight="1">
      <c r="A161" s="8" t="s">
        <v>25</v>
      </c>
      <c r="B161" s="8" t="str">
        <f>"胡宏蝶"</f>
        <v>胡宏蝶</v>
      </c>
      <c r="C161" s="8" t="str">
        <f>"341182199905106425"</f>
        <v>341182199905106425</v>
      </c>
      <c r="D161" s="8" t="str">
        <f>"20200300602"</f>
        <v>20200300602</v>
      </c>
      <c r="E161" s="9">
        <v>42.4</v>
      </c>
      <c r="F161" s="9">
        <v>74.5</v>
      </c>
      <c r="G161" s="9">
        <f t="shared" si="2"/>
        <v>116.9</v>
      </c>
      <c r="H161" s="8"/>
    </row>
    <row r="162" spans="1:8" ht="22.5" customHeight="1">
      <c r="A162" s="8" t="s">
        <v>25</v>
      </c>
      <c r="B162" s="8" t="str">
        <f>"朱梦娟"</f>
        <v>朱梦娟</v>
      </c>
      <c r="C162" s="8" t="str">
        <f>"341182199611126244"</f>
        <v>341182199611126244</v>
      </c>
      <c r="D162" s="8" t="str">
        <f>"20200300604"</f>
        <v>20200300604</v>
      </c>
      <c r="E162" s="9">
        <v>40.4</v>
      </c>
      <c r="F162" s="9">
        <v>73</v>
      </c>
      <c r="G162" s="9">
        <f t="shared" si="2"/>
        <v>113.4</v>
      </c>
      <c r="H162" s="8"/>
    </row>
    <row r="163" spans="1:8" ht="22.5" customHeight="1">
      <c r="A163" s="8" t="s">
        <v>25</v>
      </c>
      <c r="B163" s="8" t="str">
        <f>"阚仁杰"</f>
        <v>阚仁杰</v>
      </c>
      <c r="C163" s="8" t="str">
        <f>"341182199908194838"</f>
        <v>341182199908194838</v>
      </c>
      <c r="D163" s="8" t="str">
        <f>"20200300603"</f>
        <v>20200300603</v>
      </c>
      <c r="E163" s="9">
        <v>45.3</v>
      </c>
      <c r="F163" s="9">
        <v>66</v>
      </c>
      <c r="G163" s="9">
        <f t="shared" si="2"/>
        <v>111.3</v>
      </c>
      <c r="H163" s="8"/>
    </row>
    <row r="164" spans="1:8" ht="22.5" customHeight="1">
      <c r="A164" s="8" t="s">
        <v>25</v>
      </c>
      <c r="B164" s="8" t="str">
        <f>"胡叶凡"</f>
        <v>胡叶凡</v>
      </c>
      <c r="C164" s="8" t="str">
        <f>"341182199905080624"</f>
        <v>341182199905080624</v>
      </c>
      <c r="D164" s="8" t="str">
        <f>"20200300611"</f>
        <v>20200300611</v>
      </c>
      <c r="E164" s="9">
        <v>33.6</v>
      </c>
      <c r="F164" s="9">
        <v>70</v>
      </c>
      <c r="G164" s="9">
        <f t="shared" si="2"/>
        <v>103.6</v>
      </c>
      <c r="H164" s="8"/>
    </row>
    <row r="165" spans="1:8" ht="22.5" customHeight="1">
      <c r="A165" s="8" t="s">
        <v>25</v>
      </c>
      <c r="B165" s="8" t="str">
        <f>"王旭"</f>
        <v>王旭</v>
      </c>
      <c r="C165" s="8" t="str">
        <f>"34118219940417303X"</f>
        <v>34118219940417303X</v>
      </c>
      <c r="D165" s="8" t="str">
        <f>"20200300605"</f>
        <v>20200300605</v>
      </c>
      <c r="E165" s="9">
        <v>37.5</v>
      </c>
      <c r="F165" s="9">
        <v>66</v>
      </c>
      <c r="G165" s="9">
        <f t="shared" si="2"/>
        <v>103.5</v>
      </c>
      <c r="H165" s="8"/>
    </row>
    <row r="166" spans="1:8" ht="22.5" customHeight="1">
      <c r="A166" s="8" t="s">
        <v>25</v>
      </c>
      <c r="B166" s="8" t="str">
        <f>"杨胜楠"</f>
        <v>杨胜楠</v>
      </c>
      <c r="C166" s="8" t="str">
        <f>"342224199702191124"</f>
        <v>342224199702191124</v>
      </c>
      <c r="D166" s="8" t="str">
        <f>"20200300610"</f>
        <v>20200300610</v>
      </c>
      <c r="E166" s="9">
        <v>0</v>
      </c>
      <c r="F166" s="9">
        <v>0</v>
      </c>
      <c r="G166" s="9">
        <f t="shared" si="2"/>
        <v>0</v>
      </c>
      <c r="H166" s="8" t="s">
        <v>10</v>
      </c>
    </row>
    <row r="167" spans="1:8" ht="22.5" customHeight="1">
      <c r="A167" s="8" t="s">
        <v>26</v>
      </c>
      <c r="B167" s="8" t="str">
        <f>"王慕寒"</f>
        <v>王慕寒</v>
      </c>
      <c r="C167" s="8" t="str">
        <f>"341182199707290217"</f>
        <v>341182199707290217</v>
      </c>
      <c r="D167" s="8" t="str">
        <f>"20200300626"</f>
        <v>20200300626</v>
      </c>
      <c r="E167" s="9">
        <v>71.3</v>
      </c>
      <c r="F167" s="9">
        <v>74</v>
      </c>
      <c r="G167" s="9">
        <f t="shared" si="2"/>
        <v>145.3</v>
      </c>
      <c r="H167" s="8"/>
    </row>
    <row r="168" spans="1:8" ht="22.5" customHeight="1">
      <c r="A168" s="8" t="s">
        <v>26</v>
      </c>
      <c r="B168" s="8" t="str">
        <f>"戴月月"</f>
        <v>戴月月</v>
      </c>
      <c r="C168" s="8" t="str">
        <f>"341182199809062629"</f>
        <v>341182199809062629</v>
      </c>
      <c r="D168" s="8" t="str">
        <f>"20200300625"</f>
        <v>20200300625</v>
      </c>
      <c r="E168" s="9">
        <v>64.3</v>
      </c>
      <c r="F168" s="9">
        <v>75.5</v>
      </c>
      <c r="G168" s="9">
        <f t="shared" si="2"/>
        <v>139.8</v>
      </c>
      <c r="H168" s="8"/>
    </row>
    <row r="169" spans="1:8" ht="22.5" customHeight="1">
      <c r="A169" s="8" t="s">
        <v>26</v>
      </c>
      <c r="B169" s="8" t="str">
        <f>"徐泓瑶"</f>
        <v>徐泓瑶</v>
      </c>
      <c r="C169" s="8" t="str">
        <f>"342601199604250044"</f>
        <v>342601199604250044</v>
      </c>
      <c r="D169" s="8" t="str">
        <f>"20200300629"</f>
        <v>20200300629</v>
      </c>
      <c r="E169" s="9">
        <v>65.1</v>
      </c>
      <c r="F169" s="9">
        <v>73.5</v>
      </c>
      <c r="G169" s="9">
        <f t="shared" si="2"/>
        <v>138.6</v>
      </c>
      <c r="H169" s="8"/>
    </row>
    <row r="170" spans="1:8" ht="22.5" customHeight="1">
      <c r="A170" s="8" t="s">
        <v>26</v>
      </c>
      <c r="B170" s="8" t="str">
        <f>"华倩"</f>
        <v>华倩</v>
      </c>
      <c r="C170" s="8" t="str">
        <f>"341182199803232228"</f>
        <v>341182199803232228</v>
      </c>
      <c r="D170" s="8" t="str">
        <f>"20200300619"</f>
        <v>20200300619</v>
      </c>
      <c r="E170" s="9">
        <v>64.8</v>
      </c>
      <c r="F170" s="9">
        <v>72.5</v>
      </c>
      <c r="G170" s="9">
        <f t="shared" si="2"/>
        <v>137.3</v>
      </c>
      <c r="H170" s="8"/>
    </row>
    <row r="171" spans="1:8" ht="22.5" customHeight="1">
      <c r="A171" s="8" t="s">
        <v>26</v>
      </c>
      <c r="B171" s="8" t="str">
        <f>"吴玉琦"</f>
        <v>吴玉琦</v>
      </c>
      <c r="C171" s="8" t="str">
        <f>"34112219980529002X"</f>
        <v>34112219980529002X</v>
      </c>
      <c r="D171" s="8" t="str">
        <f>"20200300623"</f>
        <v>20200300623</v>
      </c>
      <c r="E171" s="9">
        <v>63.4</v>
      </c>
      <c r="F171" s="9">
        <v>72</v>
      </c>
      <c r="G171" s="9">
        <f t="shared" si="2"/>
        <v>135.4</v>
      </c>
      <c r="H171" s="8"/>
    </row>
    <row r="172" spans="1:8" ht="22.5" customHeight="1">
      <c r="A172" s="8" t="s">
        <v>26</v>
      </c>
      <c r="B172" s="8" t="str">
        <f>"杨华清"</f>
        <v>杨华清</v>
      </c>
      <c r="C172" s="8" t="str">
        <f>"341127199611220033"</f>
        <v>341127199611220033</v>
      </c>
      <c r="D172" s="8" t="str">
        <f>"20200300618"</f>
        <v>20200300618</v>
      </c>
      <c r="E172" s="9">
        <v>59.1</v>
      </c>
      <c r="F172" s="9">
        <v>75.5</v>
      </c>
      <c r="G172" s="9">
        <f t="shared" si="2"/>
        <v>134.6</v>
      </c>
      <c r="H172" s="8"/>
    </row>
    <row r="173" spans="1:8" ht="22.5" customHeight="1">
      <c r="A173" s="8" t="s">
        <v>26</v>
      </c>
      <c r="B173" s="8" t="str">
        <f>"王忠瑀"</f>
        <v>王忠瑀</v>
      </c>
      <c r="C173" s="8" t="str">
        <f>"341182199507071810"</f>
        <v>341182199507071810</v>
      </c>
      <c r="D173" s="8" t="str">
        <f>"20200300615"</f>
        <v>20200300615</v>
      </c>
      <c r="E173" s="9">
        <v>59.7</v>
      </c>
      <c r="F173" s="9">
        <v>71</v>
      </c>
      <c r="G173" s="9">
        <f t="shared" si="2"/>
        <v>130.7</v>
      </c>
      <c r="H173" s="8"/>
    </row>
    <row r="174" spans="1:8" ht="22.5" customHeight="1">
      <c r="A174" s="8" t="s">
        <v>26</v>
      </c>
      <c r="B174" s="8" t="str">
        <f>"马宇"</f>
        <v>马宇</v>
      </c>
      <c r="C174" s="8" t="str">
        <f>"341182199609234828"</f>
        <v>341182199609234828</v>
      </c>
      <c r="D174" s="8" t="str">
        <f>"20200300617"</f>
        <v>20200300617</v>
      </c>
      <c r="E174" s="9">
        <v>50.6</v>
      </c>
      <c r="F174" s="9">
        <v>74</v>
      </c>
      <c r="G174" s="9">
        <f t="shared" si="2"/>
        <v>124.6</v>
      </c>
      <c r="H174" s="8"/>
    </row>
    <row r="175" spans="1:8" ht="22.5" customHeight="1">
      <c r="A175" s="8" t="s">
        <v>26</v>
      </c>
      <c r="B175" s="8" t="str">
        <f>"徐宇虹"</f>
        <v>徐宇虹</v>
      </c>
      <c r="C175" s="8" t="str">
        <f>"341182199706140022"</f>
        <v>341182199706140022</v>
      </c>
      <c r="D175" s="8" t="str">
        <f>"20200300621"</f>
        <v>20200300621</v>
      </c>
      <c r="E175" s="9">
        <v>50.9</v>
      </c>
      <c r="F175" s="9">
        <v>72.5</v>
      </c>
      <c r="G175" s="9">
        <f t="shared" si="2"/>
        <v>123.4</v>
      </c>
      <c r="H175" s="8"/>
    </row>
    <row r="176" spans="1:8" ht="22.5" customHeight="1">
      <c r="A176" s="8" t="s">
        <v>26</v>
      </c>
      <c r="B176" s="8" t="str">
        <f>"司佳"</f>
        <v>司佳</v>
      </c>
      <c r="C176" s="8" t="str">
        <f>"341182199712012625"</f>
        <v>341182199712012625</v>
      </c>
      <c r="D176" s="8" t="str">
        <f>"20200300620"</f>
        <v>20200300620</v>
      </c>
      <c r="E176" s="9">
        <v>51.3</v>
      </c>
      <c r="F176" s="9">
        <v>70</v>
      </c>
      <c r="G176" s="9">
        <f t="shared" si="2"/>
        <v>121.3</v>
      </c>
      <c r="H176" s="8"/>
    </row>
    <row r="177" spans="1:8" ht="22.5" customHeight="1">
      <c r="A177" s="8" t="s">
        <v>26</v>
      </c>
      <c r="B177" s="8" t="str">
        <f>"周哲"</f>
        <v>周哲</v>
      </c>
      <c r="C177" s="8" t="str">
        <f>"341125199411168135"</f>
        <v>341125199411168135</v>
      </c>
      <c r="D177" s="8" t="str">
        <f>"20200300624"</f>
        <v>20200300624</v>
      </c>
      <c r="E177" s="9">
        <v>47.6</v>
      </c>
      <c r="F177" s="9">
        <v>71</v>
      </c>
      <c r="G177" s="9">
        <f t="shared" si="2"/>
        <v>118.6</v>
      </c>
      <c r="H177" s="8"/>
    </row>
    <row r="178" spans="1:8" ht="22.5" customHeight="1">
      <c r="A178" s="8" t="s">
        <v>26</v>
      </c>
      <c r="B178" s="8" t="str">
        <f>"杨树敏"</f>
        <v>杨树敏</v>
      </c>
      <c r="C178" s="8" t="str">
        <f>"341182199501204029"</f>
        <v>341182199501204029</v>
      </c>
      <c r="D178" s="8" t="str">
        <f>"20200300628"</f>
        <v>20200300628</v>
      </c>
      <c r="E178" s="9">
        <v>46</v>
      </c>
      <c r="F178" s="9">
        <v>72</v>
      </c>
      <c r="G178" s="9">
        <f t="shared" si="2"/>
        <v>118</v>
      </c>
      <c r="H178" s="8"/>
    </row>
    <row r="179" spans="1:8" ht="22.5" customHeight="1">
      <c r="A179" s="8" t="s">
        <v>26</v>
      </c>
      <c r="B179" s="8" t="str">
        <f>"阚天宝"</f>
        <v>阚天宝</v>
      </c>
      <c r="C179" s="8" t="str">
        <f>"341182199908194811"</f>
        <v>341182199908194811</v>
      </c>
      <c r="D179" s="8" t="str">
        <f>"20200300622"</f>
        <v>20200300622</v>
      </c>
      <c r="E179" s="9">
        <v>43.5</v>
      </c>
      <c r="F179" s="9">
        <v>66.5</v>
      </c>
      <c r="G179" s="9">
        <f t="shared" si="2"/>
        <v>110</v>
      </c>
      <c r="H179" s="8"/>
    </row>
    <row r="180" spans="1:8" ht="22.5" customHeight="1">
      <c r="A180" s="8" t="s">
        <v>26</v>
      </c>
      <c r="B180" s="8" t="str">
        <f>"张诗卉"</f>
        <v>张诗卉</v>
      </c>
      <c r="C180" s="8" t="str">
        <f>"341181199708240020"</f>
        <v>341181199708240020</v>
      </c>
      <c r="D180" s="8" t="str">
        <f>"20200300627"</f>
        <v>20200300627</v>
      </c>
      <c r="E180" s="9">
        <v>42.6</v>
      </c>
      <c r="F180" s="9">
        <v>66.5</v>
      </c>
      <c r="G180" s="9">
        <f t="shared" si="2"/>
        <v>109.1</v>
      </c>
      <c r="H180" s="8"/>
    </row>
    <row r="181" spans="1:8" ht="22.5" customHeight="1">
      <c r="A181" s="8" t="s">
        <v>26</v>
      </c>
      <c r="B181" s="8" t="str">
        <f>"陈颖"</f>
        <v>陈颖</v>
      </c>
      <c r="C181" s="8" t="str">
        <f>"341182199812022628"</f>
        <v>341182199812022628</v>
      </c>
      <c r="D181" s="8" t="str">
        <f>"20200300616"</f>
        <v>20200300616</v>
      </c>
      <c r="E181" s="9">
        <v>0</v>
      </c>
      <c r="F181" s="9">
        <v>0</v>
      </c>
      <c r="G181" s="9">
        <f t="shared" si="2"/>
        <v>0</v>
      </c>
      <c r="H181" s="8" t="s">
        <v>10</v>
      </c>
    </row>
    <row r="182" spans="1:8" ht="22.5" customHeight="1">
      <c r="A182" s="8" t="s">
        <v>27</v>
      </c>
      <c r="B182" s="8" t="str">
        <f>"杨婧文"</f>
        <v>杨婧文</v>
      </c>
      <c r="C182" s="8" t="str">
        <f>"341182199302220624"</f>
        <v>341182199302220624</v>
      </c>
      <c r="D182" s="8" t="str">
        <f>"20200300826"</f>
        <v>20200300826</v>
      </c>
      <c r="E182" s="9">
        <v>81.1</v>
      </c>
      <c r="F182" s="9">
        <v>72</v>
      </c>
      <c r="G182" s="9">
        <f t="shared" si="2"/>
        <v>153.1</v>
      </c>
      <c r="H182" s="8"/>
    </row>
    <row r="183" spans="1:8" ht="22.5" customHeight="1">
      <c r="A183" s="8" t="s">
        <v>27</v>
      </c>
      <c r="B183" s="8" t="str">
        <f>"王林"</f>
        <v>王林</v>
      </c>
      <c r="C183" s="8" t="str">
        <f>"341182199508280040"</f>
        <v>341182199508280040</v>
      </c>
      <c r="D183" s="8" t="str">
        <f>"20200300918"</f>
        <v>20200300918</v>
      </c>
      <c r="E183" s="9">
        <v>71.7</v>
      </c>
      <c r="F183" s="9">
        <v>70</v>
      </c>
      <c r="G183" s="9">
        <f t="shared" si="2"/>
        <v>141.7</v>
      </c>
      <c r="H183" s="8"/>
    </row>
    <row r="184" spans="1:8" ht="22.5" customHeight="1">
      <c r="A184" s="8" t="s">
        <v>27</v>
      </c>
      <c r="B184" s="8" t="str">
        <f>"李茜"</f>
        <v>李茜</v>
      </c>
      <c r="C184" s="8" t="str">
        <f>"341182199509045026"</f>
        <v>341182199509045026</v>
      </c>
      <c r="D184" s="8" t="str">
        <f>"20200300728"</f>
        <v>20200300728</v>
      </c>
      <c r="E184" s="9">
        <v>74.2</v>
      </c>
      <c r="F184" s="9">
        <v>66.5</v>
      </c>
      <c r="G184" s="9">
        <f t="shared" si="2"/>
        <v>140.7</v>
      </c>
      <c r="H184" s="8"/>
    </row>
    <row r="185" spans="1:8" ht="22.5" customHeight="1">
      <c r="A185" s="8" t="s">
        <v>27</v>
      </c>
      <c r="B185" s="8" t="str">
        <f>"付小如"</f>
        <v>付小如</v>
      </c>
      <c r="C185" s="8" t="str">
        <f>"341182199402024620"</f>
        <v>341182199402024620</v>
      </c>
      <c r="D185" s="8" t="str">
        <f>"20200300927"</f>
        <v>20200300927</v>
      </c>
      <c r="E185" s="9">
        <v>65.4</v>
      </c>
      <c r="F185" s="9">
        <v>72.5</v>
      </c>
      <c r="G185" s="9">
        <f t="shared" si="2"/>
        <v>137.9</v>
      </c>
      <c r="H185" s="8"/>
    </row>
    <row r="186" spans="1:8" ht="22.5" customHeight="1">
      <c r="A186" s="8" t="s">
        <v>27</v>
      </c>
      <c r="B186" s="8" t="str">
        <f>"辛晨"</f>
        <v>辛晨</v>
      </c>
      <c r="C186" s="8" t="str">
        <f>"341182199606052623"</f>
        <v>341182199606052623</v>
      </c>
      <c r="D186" s="8" t="str">
        <f>"20200300730"</f>
        <v>20200300730</v>
      </c>
      <c r="E186" s="9">
        <v>60</v>
      </c>
      <c r="F186" s="9">
        <v>76.5</v>
      </c>
      <c r="G186" s="9">
        <f t="shared" si="2"/>
        <v>136.5</v>
      </c>
      <c r="H186" s="8"/>
    </row>
    <row r="187" spans="1:8" ht="22.5" customHeight="1">
      <c r="A187" s="8" t="s">
        <v>27</v>
      </c>
      <c r="B187" s="8" t="str">
        <f>"冯秀娟"</f>
        <v>冯秀娟</v>
      </c>
      <c r="C187" s="8" t="str">
        <f>"341182198805182020"</f>
        <v>341182198805182020</v>
      </c>
      <c r="D187" s="8" t="str">
        <f>"20200300929"</f>
        <v>20200300929</v>
      </c>
      <c r="E187" s="9">
        <v>63</v>
      </c>
      <c r="F187" s="9">
        <v>73</v>
      </c>
      <c r="G187" s="9">
        <f t="shared" si="2"/>
        <v>136</v>
      </c>
      <c r="H187" s="8"/>
    </row>
    <row r="188" spans="1:8" ht="22.5" customHeight="1">
      <c r="A188" s="8" t="s">
        <v>27</v>
      </c>
      <c r="B188" s="8" t="str">
        <f>"汪洁"</f>
        <v>汪洁</v>
      </c>
      <c r="C188" s="8" t="str">
        <f>"341182198902282429"</f>
        <v>341182198902282429</v>
      </c>
      <c r="D188" s="8" t="str">
        <f>"20200300925"</f>
        <v>20200300925</v>
      </c>
      <c r="E188" s="9">
        <v>62.2</v>
      </c>
      <c r="F188" s="9">
        <v>72.5</v>
      </c>
      <c r="G188" s="9">
        <f t="shared" si="2"/>
        <v>134.7</v>
      </c>
      <c r="H188" s="8"/>
    </row>
    <row r="189" spans="1:8" ht="22.5" customHeight="1">
      <c r="A189" s="8" t="s">
        <v>27</v>
      </c>
      <c r="B189" s="8" t="str">
        <f>"蔡干"</f>
        <v>蔡干</v>
      </c>
      <c r="C189" s="8" t="str">
        <f>"341102199410246213"</f>
        <v>341102199410246213</v>
      </c>
      <c r="D189" s="8" t="str">
        <f>"20200300817"</f>
        <v>20200300817</v>
      </c>
      <c r="E189" s="9">
        <v>65.4</v>
      </c>
      <c r="F189" s="9">
        <v>69</v>
      </c>
      <c r="G189" s="9">
        <f t="shared" si="2"/>
        <v>134.4</v>
      </c>
      <c r="H189" s="8"/>
    </row>
    <row r="190" spans="1:8" ht="22.5" customHeight="1">
      <c r="A190" s="8" t="s">
        <v>27</v>
      </c>
      <c r="B190" s="8" t="str">
        <f>"许一凡"</f>
        <v>许一凡</v>
      </c>
      <c r="C190" s="8" t="str">
        <f>"341126199110072013"</f>
        <v>341126199110072013</v>
      </c>
      <c r="D190" s="8" t="str">
        <f>"20200301005"</f>
        <v>20200301005</v>
      </c>
      <c r="E190" s="9">
        <v>65.1</v>
      </c>
      <c r="F190" s="9">
        <v>69</v>
      </c>
      <c r="G190" s="9">
        <f t="shared" si="2"/>
        <v>134.1</v>
      </c>
      <c r="H190" s="8"/>
    </row>
    <row r="191" spans="1:8" ht="22.5" customHeight="1">
      <c r="A191" s="8" t="s">
        <v>27</v>
      </c>
      <c r="B191" s="8" t="str">
        <f>"张括"</f>
        <v>张括</v>
      </c>
      <c r="C191" s="8" t="str">
        <f>"340322198909290812"</f>
        <v>340322198909290812</v>
      </c>
      <c r="D191" s="8" t="str">
        <f>"20200301016"</f>
        <v>20200301016</v>
      </c>
      <c r="E191" s="9">
        <v>63.1</v>
      </c>
      <c r="F191" s="9">
        <v>71</v>
      </c>
      <c r="G191" s="9">
        <f t="shared" si="2"/>
        <v>134.1</v>
      </c>
      <c r="H191" s="8"/>
    </row>
    <row r="192" spans="1:8" ht="22.5" customHeight="1">
      <c r="A192" s="8" t="s">
        <v>27</v>
      </c>
      <c r="B192" s="8" t="str">
        <f>"陈雅乔"</f>
        <v>陈雅乔</v>
      </c>
      <c r="C192" s="8" t="str">
        <f>"341182199404140027"</f>
        <v>341182199404140027</v>
      </c>
      <c r="D192" s="8" t="str">
        <f>"20200300906"</f>
        <v>20200300906</v>
      </c>
      <c r="E192" s="9">
        <v>58</v>
      </c>
      <c r="F192" s="9">
        <v>76</v>
      </c>
      <c r="G192" s="9">
        <f t="shared" si="2"/>
        <v>134</v>
      </c>
      <c r="H192" s="8"/>
    </row>
    <row r="193" spans="1:8" ht="22.5" customHeight="1">
      <c r="A193" s="8" t="s">
        <v>27</v>
      </c>
      <c r="B193" s="8" t="str">
        <f>"阚咪咪"</f>
        <v>阚咪咪</v>
      </c>
      <c r="C193" s="8" t="str">
        <f>"341182199707064623"</f>
        <v>341182199707064623</v>
      </c>
      <c r="D193" s="8" t="str">
        <f>"20200300710"</f>
        <v>20200300710</v>
      </c>
      <c r="E193" s="9">
        <v>62.3</v>
      </c>
      <c r="F193" s="9">
        <v>71</v>
      </c>
      <c r="G193" s="9">
        <f t="shared" si="2"/>
        <v>133.3</v>
      </c>
      <c r="H193" s="8"/>
    </row>
    <row r="194" spans="1:8" ht="22.5" customHeight="1">
      <c r="A194" s="8" t="s">
        <v>27</v>
      </c>
      <c r="B194" s="8" t="str">
        <f>"甘甜甜"</f>
        <v>甘甜甜</v>
      </c>
      <c r="C194" s="8" t="str">
        <f>"341102199407066641"</f>
        <v>341102199407066641</v>
      </c>
      <c r="D194" s="8" t="str">
        <f>"20200301003"</f>
        <v>20200301003</v>
      </c>
      <c r="E194" s="9">
        <v>62.8</v>
      </c>
      <c r="F194" s="9">
        <v>70</v>
      </c>
      <c r="G194" s="9">
        <f t="shared" si="2"/>
        <v>132.8</v>
      </c>
      <c r="H194" s="8"/>
    </row>
    <row r="195" spans="1:8" ht="22.5" customHeight="1">
      <c r="A195" s="8" t="s">
        <v>27</v>
      </c>
      <c r="B195" s="8" t="str">
        <f>"万晓廷"</f>
        <v>万晓廷</v>
      </c>
      <c r="C195" s="8" t="str">
        <f>"320830198904020016"</f>
        <v>320830198904020016</v>
      </c>
      <c r="D195" s="8" t="str">
        <f>"20200300807"</f>
        <v>20200300807</v>
      </c>
      <c r="E195" s="9">
        <v>62.9</v>
      </c>
      <c r="F195" s="9">
        <v>69</v>
      </c>
      <c r="G195" s="9">
        <f aca="true" t="shared" si="3" ref="G195:G258">E195+F195</f>
        <v>131.9</v>
      </c>
      <c r="H195" s="8"/>
    </row>
    <row r="196" spans="1:8" ht="22.5" customHeight="1">
      <c r="A196" s="8" t="s">
        <v>27</v>
      </c>
      <c r="B196" s="8" t="str">
        <f>"薛萌萌"</f>
        <v>薛萌萌</v>
      </c>
      <c r="C196" s="8" t="str">
        <f>"341182199210090420"</f>
        <v>341182199210090420</v>
      </c>
      <c r="D196" s="8" t="str">
        <f>"20200300823"</f>
        <v>20200300823</v>
      </c>
      <c r="E196" s="9">
        <v>60.8</v>
      </c>
      <c r="F196" s="9">
        <v>71</v>
      </c>
      <c r="G196" s="9">
        <f t="shared" si="3"/>
        <v>131.8</v>
      </c>
      <c r="H196" s="8"/>
    </row>
    <row r="197" spans="1:8" ht="22.5" customHeight="1">
      <c r="A197" s="8" t="s">
        <v>27</v>
      </c>
      <c r="B197" s="8" t="str">
        <f>"钱威"</f>
        <v>钱威</v>
      </c>
      <c r="C197" s="8" t="str">
        <f>"341182199510046237"</f>
        <v>341182199510046237</v>
      </c>
      <c r="D197" s="8" t="str">
        <f>"20200300802"</f>
        <v>20200300802</v>
      </c>
      <c r="E197" s="9">
        <v>61.7</v>
      </c>
      <c r="F197" s="9">
        <v>70</v>
      </c>
      <c r="G197" s="9">
        <f t="shared" si="3"/>
        <v>131.7</v>
      </c>
      <c r="H197" s="8"/>
    </row>
    <row r="198" spans="1:8" ht="22.5" customHeight="1">
      <c r="A198" s="8" t="s">
        <v>27</v>
      </c>
      <c r="B198" s="8" t="str">
        <f>"戚善娟"</f>
        <v>戚善娟</v>
      </c>
      <c r="C198" s="8" t="str">
        <f>"341182199510252049"</f>
        <v>341182199510252049</v>
      </c>
      <c r="D198" s="8" t="str">
        <f>"20200301110"</f>
        <v>20200301110</v>
      </c>
      <c r="E198" s="9">
        <v>58.1</v>
      </c>
      <c r="F198" s="9">
        <v>73</v>
      </c>
      <c r="G198" s="9">
        <f t="shared" si="3"/>
        <v>131.1</v>
      </c>
      <c r="H198" s="8"/>
    </row>
    <row r="199" spans="1:8" ht="22.5" customHeight="1">
      <c r="A199" s="8" t="s">
        <v>27</v>
      </c>
      <c r="B199" s="8" t="str">
        <f>"孙旭"</f>
        <v>孙旭</v>
      </c>
      <c r="C199" s="8" t="str">
        <f>"342225199309077030"</f>
        <v>342225199309077030</v>
      </c>
      <c r="D199" s="8" t="str">
        <f>"20200300924"</f>
        <v>20200300924</v>
      </c>
      <c r="E199" s="9">
        <v>63.8</v>
      </c>
      <c r="F199" s="9">
        <v>67</v>
      </c>
      <c r="G199" s="9">
        <f t="shared" si="3"/>
        <v>130.8</v>
      </c>
      <c r="H199" s="8"/>
    </row>
    <row r="200" spans="1:8" ht="22.5" customHeight="1">
      <c r="A200" s="8" t="s">
        <v>27</v>
      </c>
      <c r="B200" s="8" t="str">
        <f>"冯帅康"</f>
        <v>冯帅康</v>
      </c>
      <c r="C200" s="8" t="str">
        <f>"34118219960218221X"</f>
        <v>34118219960218221X</v>
      </c>
      <c r="D200" s="8" t="str">
        <f>"20200301019"</f>
        <v>20200301019</v>
      </c>
      <c r="E200" s="9">
        <v>57.4</v>
      </c>
      <c r="F200" s="9">
        <v>73</v>
      </c>
      <c r="G200" s="9">
        <f t="shared" si="3"/>
        <v>130.4</v>
      </c>
      <c r="H200" s="8"/>
    </row>
    <row r="201" spans="1:8" ht="22.5" customHeight="1">
      <c r="A201" s="8" t="s">
        <v>27</v>
      </c>
      <c r="B201" s="8" t="str">
        <f>"史言研"</f>
        <v>史言研</v>
      </c>
      <c r="C201" s="8" t="str">
        <f>"341182199106020246"</f>
        <v>341182199106020246</v>
      </c>
      <c r="D201" s="8" t="str">
        <f>"20200301102"</f>
        <v>20200301102</v>
      </c>
      <c r="E201" s="9">
        <v>59.5</v>
      </c>
      <c r="F201" s="9">
        <v>70.5</v>
      </c>
      <c r="G201" s="9">
        <f t="shared" si="3"/>
        <v>130</v>
      </c>
      <c r="H201" s="8"/>
    </row>
    <row r="202" spans="1:8" ht="22.5" customHeight="1">
      <c r="A202" s="8" t="s">
        <v>27</v>
      </c>
      <c r="B202" s="8" t="str">
        <f>"张荣丹"</f>
        <v>张荣丹</v>
      </c>
      <c r="C202" s="8" t="str">
        <f>"341182199210072628"</f>
        <v>341182199210072628</v>
      </c>
      <c r="D202" s="8" t="str">
        <f>"20200300805"</f>
        <v>20200300805</v>
      </c>
      <c r="E202" s="9">
        <v>54.7</v>
      </c>
      <c r="F202" s="9">
        <v>75</v>
      </c>
      <c r="G202" s="9">
        <f t="shared" si="3"/>
        <v>129.7</v>
      </c>
      <c r="H202" s="8"/>
    </row>
    <row r="203" spans="1:8" ht="22.5" customHeight="1">
      <c r="A203" s="8" t="s">
        <v>27</v>
      </c>
      <c r="B203" s="8" t="str">
        <f>"杨颖"</f>
        <v>杨颖</v>
      </c>
      <c r="C203" s="8" t="str">
        <f>"341182199701290240"</f>
        <v>341182199701290240</v>
      </c>
      <c r="D203" s="8" t="str">
        <f>"20200300920"</f>
        <v>20200300920</v>
      </c>
      <c r="E203" s="9">
        <v>58.5</v>
      </c>
      <c r="F203" s="9">
        <v>71</v>
      </c>
      <c r="G203" s="9">
        <f t="shared" si="3"/>
        <v>129.5</v>
      </c>
      <c r="H203" s="8"/>
    </row>
    <row r="204" spans="1:8" ht="22.5" customHeight="1">
      <c r="A204" s="8" t="s">
        <v>27</v>
      </c>
      <c r="B204" s="8" t="str">
        <f>"周杰"</f>
        <v>周杰</v>
      </c>
      <c r="C204" s="8" t="str">
        <f>"34118219931110262X"</f>
        <v>34118219931110262X</v>
      </c>
      <c r="D204" s="8" t="str">
        <f>"20200300905"</f>
        <v>20200300905</v>
      </c>
      <c r="E204" s="9">
        <v>60.4</v>
      </c>
      <c r="F204" s="9">
        <v>69</v>
      </c>
      <c r="G204" s="9">
        <f t="shared" si="3"/>
        <v>129.4</v>
      </c>
      <c r="H204" s="8"/>
    </row>
    <row r="205" spans="1:8" ht="22.5" customHeight="1">
      <c r="A205" s="8" t="s">
        <v>27</v>
      </c>
      <c r="B205" s="8" t="str">
        <f>"陈陪陪"</f>
        <v>陈陪陪</v>
      </c>
      <c r="C205" s="8" t="str">
        <f>"341127199705012446"</f>
        <v>341127199705012446</v>
      </c>
      <c r="D205" s="8" t="str">
        <f>"20200300827"</f>
        <v>20200300827</v>
      </c>
      <c r="E205" s="9">
        <v>56.3</v>
      </c>
      <c r="F205" s="9">
        <v>73</v>
      </c>
      <c r="G205" s="9">
        <f t="shared" si="3"/>
        <v>129.3</v>
      </c>
      <c r="H205" s="8"/>
    </row>
    <row r="206" spans="1:8" ht="22.5" customHeight="1">
      <c r="A206" s="8" t="s">
        <v>27</v>
      </c>
      <c r="B206" s="8" t="str">
        <f>"张德培"</f>
        <v>张德培</v>
      </c>
      <c r="C206" s="8" t="str">
        <f>"34118219940731001X"</f>
        <v>34118219940731001X</v>
      </c>
      <c r="D206" s="8" t="str">
        <f>"20200300908"</f>
        <v>20200300908</v>
      </c>
      <c r="E206" s="9">
        <v>59.7</v>
      </c>
      <c r="F206" s="9">
        <v>69.5</v>
      </c>
      <c r="G206" s="9">
        <f t="shared" si="3"/>
        <v>129.2</v>
      </c>
      <c r="H206" s="8"/>
    </row>
    <row r="207" spans="1:8" ht="22.5" customHeight="1">
      <c r="A207" s="8" t="s">
        <v>27</v>
      </c>
      <c r="B207" s="8" t="str">
        <f>"李筱"</f>
        <v>李筱</v>
      </c>
      <c r="C207" s="8" t="str">
        <f>"341182199405310024"</f>
        <v>341182199405310024</v>
      </c>
      <c r="D207" s="8" t="str">
        <f>"20200301012"</f>
        <v>20200301012</v>
      </c>
      <c r="E207" s="9">
        <v>55.4</v>
      </c>
      <c r="F207" s="9">
        <v>73</v>
      </c>
      <c r="G207" s="9">
        <f t="shared" si="3"/>
        <v>128.4</v>
      </c>
      <c r="H207" s="8"/>
    </row>
    <row r="208" spans="1:8" ht="22.5" customHeight="1">
      <c r="A208" s="8" t="s">
        <v>27</v>
      </c>
      <c r="B208" s="8" t="str">
        <f>"钱周月"</f>
        <v>钱周月</v>
      </c>
      <c r="C208" s="8" t="str">
        <f>"341182199601012681"</f>
        <v>341182199601012681</v>
      </c>
      <c r="D208" s="8" t="str">
        <f>"20200300821"</f>
        <v>20200300821</v>
      </c>
      <c r="E208" s="9">
        <v>56.8</v>
      </c>
      <c r="F208" s="9">
        <v>71.5</v>
      </c>
      <c r="G208" s="9">
        <f t="shared" si="3"/>
        <v>128.3</v>
      </c>
      <c r="H208" s="8"/>
    </row>
    <row r="209" spans="1:8" ht="22.5" customHeight="1">
      <c r="A209" s="8" t="s">
        <v>27</v>
      </c>
      <c r="B209" s="8" t="str">
        <f>"柏兴娜"</f>
        <v>柏兴娜</v>
      </c>
      <c r="C209" s="8" t="str">
        <f>"341126199607301520"</f>
        <v>341126199607301520</v>
      </c>
      <c r="D209" s="8" t="str">
        <f>"20200300708"</f>
        <v>20200300708</v>
      </c>
      <c r="E209" s="9">
        <v>58.2</v>
      </c>
      <c r="F209" s="9">
        <v>70</v>
      </c>
      <c r="G209" s="9">
        <f t="shared" si="3"/>
        <v>128.2</v>
      </c>
      <c r="H209" s="8"/>
    </row>
    <row r="210" spans="1:8" ht="22.5" customHeight="1">
      <c r="A210" s="8" t="s">
        <v>27</v>
      </c>
      <c r="B210" s="8" t="str">
        <f>"陆贝贝"</f>
        <v>陆贝贝</v>
      </c>
      <c r="C210" s="8" t="str">
        <f>"341127199303102422"</f>
        <v>341127199303102422</v>
      </c>
      <c r="D210" s="8" t="str">
        <f>"20200300915"</f>
        <v>20200300915</v>
      </c>
      <c r="E210" s="9">
        <v>60.2</v>
      </c>
      <c r="F210" s="9">
        <v>67.5</v>
      </c>
      <c r="G210" s="9">
        <f t="shared" si="3"/>
        <v>127.7</v>
      </c>
      <c r="H210" s="8"/>
    </row>
    <row r="211" spans="1:8" ht="22.5" customHeight="1">
      <c r="A211" s="8" t="s">
        <v>27</v>
      </c>
      <c r="B211" s="8" t="str">
        <f>"李倩倩"</f>
        <v>李倩倩</v>
      </c>
      <c r="C211" s="8" t="str">
        <f>"342422198810188567"</f>
        <v>342422198810188567</v>
      </c>
      <c r="D211" s="8" t="str">
        <f>"20200301021"</f>
        <v>20200301021</v>
      </c>
      <c r="E211" s="9">
        <v>54.6</v>
      </c>
      <c r="F211" s="9">
        <v>73</v>
      </c>
      <c r="G211" s="9">
        <f t="shared" si="3"/>
        <v>127.6</v>
      </c>
      <c r="H211" s="8"/>
    </row>
    <row r="212" spans="1:8" ht="22.5" customHeight="1">
      <c r="A212" s="8" t="s">
        <v>27</v>
      </c>
      <c r="B212" s="8" t="str">
        <f>"冯国庆"</f>
        <v>冯国庆</v>
      </c>
      <c r="C212" s="8" t="str">
        <f>"341182199510013056"</f>
        <v>341182199510013056</v>
      </c>
      <c r="D212" s="8" t="str">
        <f>"20200301015"</f>
        <v>20200301015</v>
      </c>
      <c r="E212" s="9">
        <v>60.4</v>
      </c>
      <c r="F212" s="9">
        <v>66.5</v>
      </c>
      <c r="G212" s="9">
        <f t="shared" si="3"/>
        <v>126.9</v>
      </c>
      <c r="H212" s="8"/>
    </row>
    <row r="213" spans="1:8" ht="22.5" customHeight="1">
      <c r="A213" s="8" t="s">
        <v>27</v>
      </c>
      <c r="B213" s="8" t="str">
        <f>"李芳"</f>
        <v>李芳</v>
      </c>
      <c r="C213" s="8" t="str">
        <f>"341182199507285421"</f>
        <v>341182199507285421</v>
      </c>
      <c r="D213" s="8" t="str">
        <f>"20200300912"</f>
        <v>20200300912</v>
      </c>
      <c r="E213" s="9">
        <v>57.2</v>
      </c>
      <c r="F213" s="9">
        <v>69.5</v>
      </c>
      <c r="G213" s="9">
        <f t="shared" si="3"/>
        <v>126.7</v>
      </c>
      <c r="H213" s="8"/>
    </row>
    <row r="214" spans="1:8" ht="22.5" customHeight="1">
      <c r="A214" s="8" t="s">
        <v>27</v>
      </c>
      <c r="B214" s="8" t="str">
        <f>"许凌静"</f>
        <v>许凌静</v>
      </c>
      <c r="C214" s="8" t="str">
        <f>"341182199301014028"</f>
        <v>341182199301014028</v>
      </c>
      <c r="D214" s="8" t="str">
        <f>"20200300921"</f>
        <v>20200300921</v>
      </c>
      <c r="E214" s="9">
        <v>56.9</v>
      </c>
      <c r="F214" s="9">
        <v>69.5</v>
      </c>
      <c r="G214" s="9">
        <f t="shared" si="3"/>
        <v>126.4</v>
      </c>
      <c r="H214" s="8"/>
    </row>
    <row r="215" spans="1:8" ht="22.5" customHeight="1">
      <c r="A215" s="8" t="s">
        <v>27</v>
      </c>
      <c r="B215" s="8" t="str">
        <f>"程新怡"</f>
        <v>程新怡</v>
      </c>
      <c r="C215" s="8" t="str">
        <f>"341126199502264022"</f>
        <v>341126199502264022</v>
      </c>
      <c r="D215" s="8" t="str">
        <f>"20200301009"</f>
        <v>20200301009</v>
      </c>
      <c r="E215" s="9">
        <v>56.4</v>
      </c>
      <c r="F215" s="9">
        <v>70</v>
      </c>
      <c r="G215" s="9">
        <f t="shared" si="3"/>
        <v>126.4</v>
      </c>
      <c r="H215" s="8"/>
    </row>
    <row r="216" spans="1:8" ht="22.5" customHeight="1">
      <c r="A216" s="8" t="s">
        <v>27</v>
      </c>
      <c r="B216" s="8" t="str">
        <f>"包志敏"</f>
        <v>包志敏</v>
      </c>
      <c r="C216" s="8" t="str">
        <f>"341182199404280628"</f>
        <v>341182199404280628</v>
      </c>
      <c r="D216" s="8" t="str">
        <f>"20200300812"</f>
        <v>20200300812</v>
      </c>
      <c r="E216" s="9">
        <v>55.1</v>
      </c>
      <c r="F216" s="9">
        <v>71</v>
      </c>
      <c r="G216" s="9">
        <f t="shared" si="3"/>
        <v>126.1</v>
      </c>
      <c r="H216" s="8"/>
    </row>
    <row r="217" spans="1:8" ht="22.5" customHeight="1">
      <c r="A217" s="8" t="s">
        <v>27</v>
      </c>
      <c r="B217" s="8" t="str">
        <f>"肖思远"</f>
        <v>肖思远</v>
      </c>
      <c r="C217" s="8" t="str">
        <f>"341182199709180011"</f>
        <v>341182199709180011</v>
      </c>
      <c r="D217" s="8" t="str">
        <f>"20200300714"</f>
        <v>20200300714</v>
      </c>
      <c r="E217" s="9">
        <v>52.4</v>
      </c>
      <c r="F217" s="9">
        <v>73.5</v>
      </c>
      <c r="G217" s="9">
        <f t="shared" si="3"/>
        <v>125.9</v>
      </c>
      <c r="H217" s="8"/>
    </row>
    <row r="218" spans="1:8" ht="22.5" customHeight="1">
      <c r="A218" s="8" t="s">
        <v>27</v>
      </c>
      <c r="B218" s="8" t="str">
        <f>"徐浩"</f>
        <v>徐浩</v>
      </c>
      <c r="C218" s="8" t="str">
        <f>"341126199105196716"</f>
        <v>341126199105196716</v>
      </c>
      <c r="D218" s="8" t="str">
        <f>"20200301107"</f>
        <v>20200301107</v>
      </c>
      <c r="E218" s="9">
        <v>65.9</v>
      </c>
      <c r="F218" s="9">
        <v>60</v>
      </c>
      <c r="G218" s="9">
        <f t="shared" si="3"/>
        <v>125.9</v>
      </c>
      <c r="H218" s="8"/>
    </row>
    <row r="219" spans="1:8" ht="22.5" customHeight="1">
      <c r="A219" s="8" t="s">
        <v>27</v>
      </c>
      <c r="B219" s="8" t="str">
        <f>"刘丽丽"</f>
        <v>刘丽丽</v>
      </c>
      <c r="C219" s="8" t="str">
        <f>"341126199506035024"</f>
        <v>341126199506035024</v>
      </c>
      <c r="D219" s="8" t="str">
        <f>"20200301004"</f>
        <v>20200301004</v>
      </c>
      <c r="E219" s="9">
        <v>53.8</v>
      </c>
      <c r="F219" s="9">
        <v>72</v>
      </c>
      <c r="G219" s="9">
        <f t="shared" si="3"/>
        <v>125.8</v>
      </c>
      <c r="H219" s="8"/>
    </row>
    <row r="220" spans="1:8" ht="22.5" customHeight="1">
      <c r="A220" s="8" t="s">
        <v>27</v>
      </c>
      <c r="B220" s="8" t="str">
        <f>"王生艳"</f>
        <v>王生艳</v>
      </c>
      <c r="C220" s="8" t="str">
        <f>"341181199212252829"</f>
        <v>341181199212252829</v>
      </c>
      <c r="D220" s="8" t="str">
        <f>"20200301109"</f>
        <v>20200301109</v>
      </c>
      <c r="E220" s="9">
        <v>54.9</v>
      </c>
      <c r="F220" s="9">
        <v>70.5</v>
      </c>
      <c r="G220" s="9">
        <f t="shared" si="3"/>
        <v>125.4</v>
      </c>
      <c r="H220" s="8"/>
    </row>
    <row r="221" spans="1:8" ht="22.5" customHeight="1">
      <c r="A221" s="8" t="s">
        <v>27</v>
      </c>
      <c r="B221" s="8" t="str">
        <f>"季霜"</f>
        <v>季霜</v>
      </c>
      <c r="C221" s="8" t="str">
        <f>"341182199410243620"</f>
        <v>341182199410243620</v>
      </c>
      <c r="D221" s="8" t="str">
        <f>"20200300716"</f>
        <v>20200300716</v>
      </c>
      <c r="E221" s="9">
        <v>52.8</v>
      </c>
      <c r="F221" s="9">
        <v>72.5</v>
      </c>
      <c r="G221" s="9">
        <f t="shared" si="3"/>
        <v>125.3</v>
      </c>
      <c r="H221" s="8"/>
    </row>
    <row r="222" spans="1:8" ht="22.5" customHeight="1">
      <c r="A222" s="8" t="s">
        <v>27</v>
      </c>
      <c r="B222" s="8" t="str">
        <f>"张倩"</f>
        <v>张倩</v>
      </c>
      <c r="C222" s="8" t="str">
        <f>"341182199502070421"</f>
        <v>341182199502070421</v>
      </c>
      <c r="D222" s="8" t="str">
        <f>"20200300930"</f>
        <v>20200300930</v>
      </c>
      <c r="E222" s="9">
        <v>56.8</v>
      </c>
      <c r="F222" s="9">
        <v>68.5</v>
      </c>
      <c r="G222" s="9">
        <f t="shared" si="3"/>
        <v>125.3</v>
      </c>
      <c r="H222" s="8"/>
    </row>
    <row r="223" spans="1:8" ht="22.5" customHeight="1">
      <c r="A223" s="8" t="s">
        <v>27</v>
      </c>
      <c r="B223" s="8" t="str">
        <f>"朱俊超"</f>
        <v>朱俊超</v>
      </c>
      <c r="C223" s="8" t="str">
        <f>"341182199411190022"</f>
        <v>341182199411190022</v>
      </c>
      <c r="D223" s="8" t="str">
        <f>"20200301026"</f>
        <v>20200301026</v>
      </c>
      <c r="E223" s="9">
        <v>54</v>
      </c>
      <c r="F223" s="9">
        <v>71</v>
      </c>
      <c r="G223" s="9">
        <f t="shared" si="3"/>
        <v>125</v>
      </c>
      <c r="H223" s="8"/>
    </row>
    <row r="224" spans="1:8" ht="22.5" customHeight="1">
      <c r="A224" s="8" t="s">
        <v>27</v>
      </c>
      <c r="B224" s="8" t="str">
        <f>"蒋超"</f>
        <v>蒋超</v>
      </c>
      <c r="C224" s="8" t="str">
        <f>"341102199310226610"</f>
        <v>341102199310226610</v>
      </c>
      <c r="D224" s="8" t="str">
        <f>"20200300928"</f>
        <v>20200300928</v>
      </c>
      <c r="E224" s="9">
        <v>54.5</v>
      </c>
      <c r="F224" s="9">
        <v>70</v>
      </c>
      <c r="G224" s="9">
        <f t="shared" si="3"/>
        <v>124.5</v>
      </c>
      <c r="H224" s="8"/>
    </row>
    <row r="225" spans="1:8" ht="22.5" customHeight="1">
      <c r="A225" s="8" t="s">
        <v>27</v>
      </c>
      <c r="B225" s="8" t="str">
        <f>"何静"</f>
        <v>何静</v>
      </c>
      <c r="C225" s="8" t="str">
        <f>"341182199605122028"</f>
        <v>341182199605122028</v>
      </c>
      <c r="D225" s="8" t="str">
        <f>"20200301008"</f>
        <v>20200301008</v>
      </c>
      <c r="E225" s="9">
        <v>52.3</v>
      </c>
      <c r="F225" s="9">
        <v>72</v>
      </c>
      <c r="G225" s="9">
        <f t="shared" si="3"/>
        <v>124.3</v>
      </c>
      <c r="H225" s="8"/>
    </row>
    <row r="226" spans="1:8" ht="22.5" customHeight="1">
      <c r="A226" s="8" t="s">
        <v>27</v>
      </c>
      <c r="B226" s="8" t="str">
        <f>"马崇桢"</f>
        <v>马崇桢</v>
      </c>
      <c r="C226" s="8" t="str">
        <f>"341182199604120418"</f>
        <v>341182199604120418</v>
      </c>
      <c r="D226" s="8" t="str">
        <f>"20200300818"</f>
        <v>20200300818</v>
      </c>
      <c r="E226" s="9">
        <v>58.4</v>
      </c>
      <c r="F226" s="9">
        <v>65.5</v>
      </c>
      <c r="G226" s="9">
        <f t="shared" si="3"/>
        <v>123.9</v>
      </c>
      <c r="H226" s="8"/>
    </row>
    <row r="227" spans="1:8" ht="22.5" customHeight="1">
      <c r="A227" s="8" t="s">
        <v>27</v>
      </c>
      <c r="B227" s="8" t="str">
        <f>"顾世贝"</f>
        <v>顾世贝</v>
      </c>
      <c r="C227" s="8" t="str">
        <f>"341126199512116242"</f>
        <v>341126199512116242</v>
      </c>
      <c r="D227" s="8" t="str">
        <f>"20200300916"</f>
        <v>20200300916</v>
      </c>
      <c r="E227" s="9">
        <v>55.1</v>
      </c>
      <c r="F227" s="9">
        <v>68.5</v>
      </c>
      <c r="G227" s="9">
        <f t="shared" si="3"/>
        <v>123.6</v>
      </c>
      <c r="H227" s="8"/>
    </row>
    <row r="228" spans="1:8" ht="22.5" customHeight="1">
      <c r="A228" s="8" t="s">
        <v>27</v>
      </c>
      <c r="B228" s="8" t="str">
        <f>"徐志峥"</f>
        <v>徐志峥</v>
      </c>
      <c r="C228" s="8" t="str">
        <f>"341127199104290037"</f>
        <v>341127199104290037</v>
      </c>
      <c r="D228" s="8" t="str">
        <f>"20200301118"</f>
        <v>20200301118</v>
      </c>
      <c r="E228" s="9">
        <v>57</v>
      </c>
      <c r="F228" s="9">
        <v>66.5</v>
      </c>
      <c r="G228" s="9">
        <f t="shared" si="3"/>
        <v>123.5</v>
      </c>
      <c r="H228" s="8"/>
    </row>
    <row r="229" spans="1:8" ht="22.5" customHeight="1">
      <c r="A229" s="8" t="s">
        <v>27</v>
      </c>
      <c r="B229" s="8" t="str">
        <f>"王瑞"</f>
        <v>王瑞</v>
      </c>
      <c r="C229" s="8" t="str">
        <f>"341182199510061824"</f>
        <v>341182199510061824</v>
      </c>
      <c r="D229" s="8" t="str">
        <f>"20200300720"</f>
        <v>20200300720</v>
      </c>
      <c r="E229" s="9">
        <v>51.8</v>
      </c>
      <c r="F229" s="9">
        <v>71.5</v>
      </c>
      <c r="G229" s="9">
        <f t="shared" si="3"/>
        <v>123.3</v>
      </c>
      <c r="H229" s="8"/>
    </row>
    <row r="230" spans="1:8" ht="22.5" customHeight="1">
      <c r="A230" s="8" t="s">
        <v>27</v>
      </c>
      <c r="B230" s="8" t="str">
        <f>"季明月"</f>
        <v>季明月</v>
      </c>
      <c r="C230" s="8" t="str">
        <f>"341182199608083626"</f>
        <v>341182199608083626</v>
      </c>
      <c r="D230" s="8" t="str">
        <f>"20200300724"</f>
        <v>20200300724</v>
      </c>
      <c r="E230" s="9">
        <v>51.4</v>
      </c>
      <c r="F230" s="9">
        <v>71.5</v>
      </c>
      <c r="G230" s="9">
        <f t="shared" si="3"/>
        <v>122.9</v>
      </c>
      <c r="H230" s="8"/>
    </row>
    <row r="231" spans="1:8" ht="22.5" customHeight="1">
      <c r="A231" s="8" t="s">
        <v>27</v>
      </c>
      <c r="B231" s="8" t="str">
        <f>"詹绍松"</f>
        <v>詹绍松</v>
      </c>
      <c r="C231" s="8" t="str">
        <f>"341182199203150018"</f>
        <v>341182199203150018</v>
      </c>
      <c r="D231" s="8" t="str">
        <f>"20200301115"</f>
        <v>20200301115</v>
      </c>
      <c r="E231" s="9">
        <v>54.2</v>
      </c>
      <c r="F231" s="9">
        <v>68.5</v>
      </c>
      <c r="G231" s="9">
        <f t="shared" si="3"/>
        <v>122.7</v>
      </c>
      <c r="H231" s="8"/>
    </row>
    <row r="232" spans="1:8" ht="22.5" customHeight="1">
      <c r="A232" s="8" t="s">
        <v>27</v>
      </c>
      <c r="B232" s="8" t="str">
        <f>"杨超"</f>
        <v>杨超</v>
      </c>
      <c r="C232" s="8" t="str">
        <f>"341182199102191013"</f>
        <v>341182199102191013</v>
      </c>
      <c r="D232" s="8" t="str">
        <f>"20200300706"</f>
        <v>20200300706</v>
      </c>
      <c r="E232" s="9">
        <v>50</v>
      </c>
      <c r="F232" s="9">
        <v>71.5</v>
      </c>
      <c r="G232" s="9">
        <f t="shared" si="3"/>
        <v>121.5</v>
      </c>
      <c r="H232" s="8"/>
    </row>
    <row r="233" spans="1:8" ht="22.5" customHeight="1">
      <c r="A233" s="8" t="s">
        <v>27</v>
      </c>
      <c r="B233" s="8" t="str">
        <f>"张雪榆"</f>
        <v>张雪榆</v>
      </c>
      <c r="C233" s="8" t="str">
        <f>"341126199201280010"</f>
        <v>341126199201280010</v>
      </c>
      <c r="D233" s="8" t="str">
        <f>"20200300816"</f>
        <v>20200300816</v>
      </c>
      <c r="E233" s="9">
        <v>49.5</v>
      </c>
      <c r="F233" s="9">
        <v>72</v>
      </c>
      <c r="G233" s="9">
        <f t="shared" si="3"/>
        <v>121.5</v>
      </c>
      <c r="H233" s="8"/>
    </row>
    <row r="234" spans="1:8" ht="22.5" customHeight="1">
      <c r="A234" s="8" t="s">
        <v>27</v>
      </c>
      <c r="B234" s="8" t="str">
        <f>"杨扣扣"</f>
        <v>杨扣扣</v>
      </c>
      <c r="C234" s="8" t="str">
        <f>"341182199507181825"</f>
        <v>341182199507181825</v>
      </c>
      <c r="D234" s="8" t="str">
        <f>"20200300801"</f>
        <v>20200300801</v>
      </c>
      <c r="E234" s="9">
        <v>53.4</v>
      </c>
      <c r="F234" s="9">
        <v>68</v>
      </c>
      <c r="G234" s="9">
        <f t="shared" si="3"/>
        <v>121.4</v>
      </c>
      <c r="H234" s="8"/>
    </row>
    <row r="235" spans="1:8" ht="22.5" customHeight="1">
      <c r="A235" s="8" t="s">
        <v>27</v>
      </c>
      <c r="B235" s="8" t="str">
        <f>"丁加妮"</f>
        <v>丁加妮</v>
      </c>
      <c r="C235" s="8" t="str">
        <f>"341182199102054481"</f>
        <v>341182199102054481</v>
      </c>
      <c r="D235" s="8" t="str">
        <f>"20200300809"</f>
        <v>20200300809</v>
      </c>
      <c r="E235" s="9">
        <v>54.9</v>
      </c>
      <c r="F235" s="9">
        <v>66.5</v>
      </c>
      <c r="G235" s="9">
        <f t="shared" si="3"/>
        <v>121.4</v>
      </c>
      <c r="H235" s="8"/>
    </row>
    <row r="236" spans="1:8" ht="22.5" customHeight="1">
      <c r="A236" s="8" t="s">
        <v>27</v>
      </c>
      <c r="B236" s="8" t="str">
        <f>"阚莺莺"</f>
        <v>阚莺莺</v>
      </c>
      <c r="C236" s="8" t="str">
        <f>"341182199603284621"</f>
        <v>341182199603284621</v>
      </c>
      <c r="D236" s="8" t="str">
        <f>"20200300711"</f>
        <v>20200300711</v>
      </c>
      <c r="E236" s="9">
        <v>52.3</v>
      </c>
      <c r="F236" s="9">
        <v>69</v>
      </c>
      <c r="G236" s="9">
        <f t="shared" si="3"/>
        <v>121.3</v>
      </c>
      <c r="H236" s="8"/>
    </row>
    <row r="237" spans="1:8" ht="22.5" customHeight="1">
      <c r="A237" s="8" t="s">
        <v>27</v>
      </c>
      <c r="B237" s="8" t="str">
        <f>"王峰"</f>
        <v>王峰</v>
      </c>
      <c r="C237" s="8" t="str">
        <f>"341103199109053056"</f>
        <v>341103199109053056</v>
      </c>
      <c r="D237" s="8" t="str">
        <f>"20200300822"</f>
        <v>20200300822</v>
      </c>
      <c r="E237" s="9">
        <v>52.8</v>
      </c>
      <c r="F237" s="9">
        <v>68.5</v>
      </c>
      <c r="G237" s="9">
        <f t="shared" si="3"/>
        <v>121.3</v>
      </c>
      <c r="H237" s="8"/>
    </row>
    <row r="238" spans="1:8" ht="22.5" customHeight="1">
      <c r="A238" s="8" t="s">
        <v>27</v>
      </c>
      <c r="B238" s="8" t="str">
        <f>"蔡园梦"</f>
        <v>蔡园梦</v>
      </c>
      <c r="C238" s="8" t="str">
        <f>"34118219970129222X"</f>
        <v>34118219970129222X</v>
      </c>
      <c r="D238" s="8" t="str">
        <f>"20200300911"</f>
        <v>20200300911</v>
      </c>
      <c r="E238" s="9">
        <v>53.1</v>
      </c>
      <c r="F238" s="9">
        <v>68</v>
      </c>
      <c r="G238" s="9">
        <f t="shared" si="3"/>
        <v>121.1</v>
      </c>
      <c r="H238" s="8"/>
    </row>
    <row r="239" spans="1:8" ht="22.5" customHeight="1">
      <c r="A239" s="8" t="s">
        <v>27</v>
      </c>
      <c r="B239" s="8" t="str">
        <f>"杨晨"</f>
        <v>杨晨</v>
      </c>
      <c r="C239" s="8" t="str">
        <f>"341127199709021411"</f>
        <v>341127199709021411</v>
      </c>
      <c r="D239" s="8" t="str">
        <f>"20200301013"</f>
        <v>20200301013</v>
      </c>
      <c r="E239" s="9">
        <v>52.9</v>
      </c>
      <c r="F239" s="9">
        <v>68</v>
      </c>
      <c r="G239" s="9">
        <f t="shared" si="3"/>
        <v>120.9</v>
      </c>
      <c r="H239" s="8"/>
    </row>
    <row r="240" spans="1:8" ht="22.5" customHeight="1">
      <c r="A240" s="8" t="s">
        <v>27</v>
      </c>
      <c r="B240" s="8" t="str">
        <f>"徐筱"</f>
        <v>徐筱</v>
      </c>
      <c r="C240" s="8" t="str">
        <f>"341182199510210228"</f>
        <v>341182199510210228</v>
      </c>
      <c r="D240" s="8" t="str">
        <f>"20200300717"</f>
        <v>20200300717</v>
      </c>
      <c r="E240" s="9">
        <v>50.8</v>
      </c>
      <c r="F240" s="9">
        <v>70</v>
      </c>
      <c r="G240" s="9">
        <f t="shared" si="3"/>
        <v>120.8</v>
      </c>
      <c r="H240" s="8"/>
    </row>
    <row r="241" spans="1:8" ht="22.5" customHeight="1">
      <c r="A241" s="8" t="s">
        <v>27</v>
      </c>
      <c r="B241" s="8" t="str">
        <f>"袁芳芳"</f>
        <v>袁芳芳</v>
      </c>
      <c r="C241" s="8" t="str">
        <f>"341126199112210061"</f>
        <v>341126199112210061</v>
      </c>
      <c r="D241" s="8" t="str">
        <f>"20200300630"</f>
        <v>20200300630</v>
      </c>
      <c r="E241" s="9">
        <v>48.1</v>
      </c>
      <c r="F241" s="9">
        <v>72.5</v>
      </c>
      <c r="G241" s="9">
        <f t="shared" si="3"/>
        <v>120.6</v>
      </c>
      <c r="H241" s="8"/>
    </row>
    <row r="242" spans="1:8" ht="22.5" customHeight="1">
      <c r="A242" s="8" t="s">
        <v>27</v>
      </c>
      <c r="B242" s="8" t="str">
        <f>"赵南杨"</f>
        <v>赵南杨</v>
      </c>
      <c r="C242" s="8" t="str">
        <f>"341182199712010830"</f>
        <v>341182199712010830</v>
      </c>
      <c r="D242" s="8" t="str">
        <f>"20200301001"</f>
        <v>20200301001</v>
      </c>
      <c r="E242" s="9">
        <v>47</v>
      </c>
      <c r="F242" s="9">
        <v>73.5</v>
      </c>
      <c r="G242" s="9">
        <f t="shared" si="3"/>
        <v>120.5</v>
      </c>
      <c r="H242" s="8"/>
    </row>
    <row r="243" spans="1:8" ht="22.5" customHeight="1">
      <c r="A243" s="8" t="s">
        <v>27</v>
      </c>
      <c r="B243" s="8" t="str">
        <f>"刘倩"</f>
        <v>刘倩</v>
      </c>
      <c r="C243" s="8" t="str">
        <f>"341126199211080020"</f>
        <v>341126199211080020</v>
      </c>
      <c r="D243" s="8" t="str">
        <f>"20200301027"</f>
        <v>20200301027</v>
      </c>
      <c r="E243" s="9">
        <v>49</v>
      </c>
      <c r="F243" s="9">
        <v>71.5</v>
      </c>
      <c r="G243" s="9">
        <f t="shared" si="3"/>
        <v>120.5</v>
      </c>
      <c r="H243" s="8"/>
    </row>
    <row r="244" spans="1:8" ht="22.5" customHeight="1">
      <c r="A244" s="8" t="s">
        <v>27</v>
      </c>
      <c r="B244" s="8" t="str">
        <f>"王静"</f>
        <v>王静</v>
      </c>
      <c r="C244" s="8" t="str">
        <f>"341127199510025423"</f>
        <v>341127199510025423</v>
      </c>
      <c r="D244" s="8" t="str">
        <f>"20200300824"</f>
        <v>20200300824</v>
      </c>
      <c r="E244" s="9">
        <v>46.9</v>
      </c>
      <c r="F244" s="9">
        <v>73.5</v>
      </c>
      <c r="G244" s="9">
        <f t="shared" si="3"/>
        <v>120.4</v>
      </c>
      <c r="H244" s="8"/>
    </row>
    <row r="245" spans="1:8" ht="22.5" customHeight="1">
      <c r="A245" s="8" t="s">
        <v>27</v>
      </c>
      <c r="B245" s="8" t="str">
        <f>"商硕"</f>
        <v>商硕</v>
      </c>
      <c r="C245" s="8" t="str">
        <f>"320324199112127034"</f>
        <v>320324199112127034</v>
      </c>
      <c r="D245" s="8" t="str">
        <f>"20200300723"</f>
        <v>20200300723</v>
      </c>
      <c r="E245" s="9">
        <v>55.6</v>
      </c>
      <c r="F245" s="9">
        <v>64.5</v>
      </c>
      <c r="G245" s="9">
        <f t="shared" si="3"/>
        <v>120.1</v>
      </c>
      <c r="H245" s="8"/>
    </row>
    <row r="246" spans="1:8" ht="22.5" customHeight="1">
      <c r="A246" s="8" t="s">
        <v>27</v>
      </c>
      <c r="B246" s="8" t="str">
        <f>"陈园"</f>
        <v>陈园</v>
      </c>
      <c r="C246" s="8" t="str">
        <f>"341182199411292619"</f>
        <v>341182199411292619</v>
      </c>
      <c r="D246" s="8" t="str">
        <f>"20200301017"</f>
        <v>20200301017</v>
      </c>
      <c r="E246" s="9">
        <v>52.5</v>
      </c>
      <c r="F246" s="9">
        <v>67.5</v>
      </c>
      <c r="G246" s="9">
        <f t="shared" si="3"/>
        <v>120</v>
      </c>
      <c r="H246" s="8"/>
    </row>
    <row r="247" spans="1:8" ht="22.5" customHeight="1">
      <c r="A247" s="8" t="s">
        <v>27</v>
      </c>
      <c r="B247" s="8" t="str">
        <f>"许慧娟"</f>
        <v>许慧娟</v>
      </c>
      <c r="C247" s="8" t="str">
        <f>"34118219930405042X"</f>
        <v>34118219930405042X</v>
      </c>
      <c r="D247" s="8" t="str">
        <f>"20200301108"</f>
        <v>20200301108</v>
      </c>
      <c r="E247" s="9">
        <v>52</v>
      </c>
      <c r="F247" s="9">
        <v>67.5</v>
      </c>
      <c r="G247" s="9">
        <f t="shared" si="3"/>
        <v>119.5</v>
      </c>
      <c r="H247" s="8"/>
    </row>
    <row r="248" spans="1:8" ht="22.5" customHeight="1">
      <c r="A248" s="8" t="s">
        <v>27</v>
      </c>
      <c r="B248" s="8" t="str">
        <f>"石玥"</f>
        <v>石玥</v>
      </c>
      <c r="C248" s="8" t="str">
        <f>"341182199003090487"</f>
        <v>341182199003090487</v>
      </c>
      <c r="D248" s="8" t="str">
        <f>"20200301106"</f>
        <v>20200301106</v>
      </c>
      <c r="E248" s="9">
        <v>47.3</v>
      </c>
      <c r="F248" s="9">
        <v>72</v>
      </c>
      <c r="G248" s="9">
        <f t="shared" si="3"/>
        <v>119.3</v>
      </c>
      <c r="H248" s="8"/>
    </row>
    <row r="249" spans="1:8" ht="22.5" customHeight="1">
      <c r="A249" s="8" t="s">
        <v>27</v>
      </c>
      <c r="B249" s="8" t="str">
        <f>"王雅静"</f>
        <v>王雅静</v>
      </c>
      <c r="C249" s="8" t="str">
        <f>"341126198910082821"</f>
        <v>341126198910082821</v>
      </c>
      <c r="D249" s="8" t="str">
        <f>"20200300715"</f>
        <v>20200300715</v>
      </c>
      <c r="E249" s="9">
        <v>48.7</v>
      </c>
      <c r="F249" s="9">
        <v>70.5</v>
      </c>
      <c r="G249" s="9">
        <f t="shared" si="3"/>
        <v>119.2</v>
      </c>
      <c r="H249" s="8"/>
    </row>
    <row r="250" spans="1:8" ht="22.5" customHeight="1">
      <c r="A250" s="8" t="s">
        <v>27</v>
      </c>
      <c r="B250" s="8" t="str">
        <f>"相阳"</f>
        <v>相阳</v>
      </c>
      <c r="C250" s="8" t="str">
        <f>"341122199512290034"</f>
        <v>341122199512290034</v>
      </c>
      <c r="D250" s="8" t="str">
        <f>"20200300922"</f>
        <v>20200300922</v>
      </c>
      <c r="E250" s="9">
        <v>48.2</v>
      </c>
      <c r="F250" s="9">
        <v>71</v>
      </c>
      <c r="G250" s="9">
        <f t="shared" si="3"/>
        <v>119.2</v>
      </c>
      <c r="H250" s="8"/>
    </row>
    <row r="251" spans="1:8" ht="22.5" customHeight="1">
      <c r="A251" s="8" t="s">
        <v>27</v>
      </c>
      <c r="B251" s="8" t="str">
        <f>"闫金凤"</f>
        <v>闫金凤</v>
      </c>
      <c r="C251" s="8" t="str">
        <f>"320305198901013327"</f>
        <v>320305198901013327</v>
      </c>
      <c r="D251" s="8" t="str">
        <f>"20200301104"</f>
        <v>20200301104</v>
      </c>
      <c r="E251" s="9">
        <v>47.1</v>
      </c>
      <c r="F251" s="9">
        <v>72</v>
      </c>
      <c r="G251" s="9">
        <f t="shared" si="3"/>
        <v>119.1</v>
      </c>
      <c r="H251" s="8"/>
    </row>
    <row r="252" spans="1:8" ht="22.5" customHeight="1">
      <c r="A252" s="8" t="s">
        <v>27</v>
      </c>
      <c r="B252" s="8" t="str">
        <f>"邢蔚"</f>
        <v>邢蔚</v>
      </c>
      <c r="C252" s="8" t="str">
        <f>"341182199511040021"</f>
        <v>341182199511040021</v>
      </c>
      <c r="D252" s="8" t="str">
        <f>"20200300726"</f>
        <v>20200300726</v>
      </c>
      <c r="E252" s="9">
        <v>46.6</v>
      </c>
      <c r="F252" s="9">
        <v>71.5</v>
      </c>
      <c r="G252" s="9">
        <f t="shared" si="3"/>
        <v>118.1</v>
      </c>
      <c r="H252" s="8"/>
    </row>
    <row r="253" spans="1:8" ht="22.5" customHeight="1">
      <c r="A253" s="8" t="s">
        <v>27</v>
      </c>
      <c r="B253" s="8" t="str">
        <f>"徐玉建"</f>
        <v>徐玉建</v>
      </c>
      <c r="C253" s="8" t="str">
        <f>"320830199509035626"</f>
        <v>320830199509035626</v>
      </c>
      <c r="D253" s="8" t="str">
        <f>"20200300806"</f>
        <v>20200300806</v>
      </c>
      <c r="E253" s="9">
        <v>52.1</v>
      </c>
      <c r="F253" s="9">
        <v>65.5</v>
      </c>
      <c r="G253" s="9">
        <f t="shared" si="3"/>
        <v>117.6</v>
      </c>
      <c r="H253" s="8"/>
    </row>
    <row r="254" spans="1:8" ht="22.5" customHeight="1">
      <c r="A254" s="8" t="s">
        <v>27</v>
      </c>
      <c r="B254" s="8" t="str">
        <f>"沈云龙"</f>
        <v>沈云龙</v>
      </c>
      <c r="C254" s="8" t="str">
        <f>"341182199502134413"</f>
        <v>341182199502134413</v>
      </c>
      <c r="D254" s="8" t="str">
        <f>"20200300904"</f>
        <v>20200300904</v>
      </c>
      <c r="E254" s="9">
        <v>45.9</v>
      </c>
      <c r="F254" s="9">
        <v>71.5</v>
      </c>
      <c r="G254" s="9">
        <f t="shared" si="3"/>
        <v>117.4</v>
      </c>
      <c r="H254" s="8"/>
    </row>
    <row r="255" spans="1:8" ht="22.5" customHeight="1">
      <c r="A255" s="8" t="s">
        <v>27</v>
      </c>
      <c r="B255" s="8" t="str">
        <f>"张悦"</f>
        <v>张悦</v>
      </c>
      <c r="C255" s="8" t="str">
        <f>"341182199505290227"</f>
        <v>341182199505290227</v>
      </c>
      <c r="D255" s="8" t="str">
        <f>"20200300828"</f>
        <v>20200300828</v>
      </c>
      <c r="E255" s="9">
        <v>44.3</v>
      </c>
      <c r="F255" s="9">
        <v>73</v>
      </c>
      <c r="G255" s="9">
        <f t="shared" si="3"/>
        <v>117.3</v>
      </c>
      <c r="H255" s="8"/>
    </row>
    <row r="256" spans="1:8" ht="22.5" customHeight="1">
      <c r="A256" s="8" t="s">
        <v>27</v>
      </c>
      <c r="B256" s="8" t="str">
        <f>"岳同"</f>
        <v>岳同</v>
      </c>
      <c r="C256" s="8" t="str">
        <f>"341182199301080236"</f>
        <v>341182199301080236</v>
      </c>
      <c r="D256" s="8" t="str">
        <f>"20200300926"</f>
        <v>20200300926</v>
      </c>
      <c r="E256" s="9">
        <v>49.9</v>
      </c>
      <c r="F256" s="9">
        <v>66.5</v>
      </c>
      <c r="G256" s="9">
        <f t="shared" si="3"/>
        <v>116.4</v>
      </c>
      <c r="H256" s="8"/>
    </row>
    <row r="257" spans="1:8" ht="22.5" customHeight="1">
      <c r="A257" s="8" t="s">
        <v>27</v>
      </c>
      <c r="B257" s="8" t="str">
        <f>"伏庚"</f>
        <v>伏庚</v>
      </c>
      <c r="C257" s="8" t="str">
        <f>"341102199301221017"</f>
        <v>341102199301221017</v>
      </c>
      <c r="D257" s="8" t="str">
        <f>"20200301020"</f>
        <v>20200301020</v>
      </c>
      <c r="E257" s="9">
        <v>52.1</v>
      </c>
      <c r="F257" s="9">
        <v>64</v>
      </c>
      <c r="G257" s="9">
        <f t="shared" si="3"/>
        <v>116.1</v>
      </c>
      <c r="H257" s="8"/>
    </row>
    <row r="258" spans="1:8" ht="22.5" customHeight="1">
      <c r="A258" s="8" t="s">
        <v>27</v>
      </c>
      <c r="B258" s="8" t="str">
        <f>"李明冬"</f>
        <v>李明冬</v>
      </c>
      <c r="C258" s="8" t="str">
        <f>"341181199112250033"</f>
        <v>341181199112250033</v>
      </c>
      <c r="D258" s="8" t="str">
        <f>"20200301111"</f>
        <v>20200301111</v>
      </c>
      <c r="E258" s="9">
        <v>47</v>
      </c>
      <c r="F258" s="9">
        <v>69</v>
      </c>
      <c r="G258" s="9">
        <f t="shared" si="3"/>
        <v>116</v>
      </c>
      <c r="H258" s="8"/>
    </row>
    <row r="259" spans="1:8" ht="22.5" customHeight="1">
      <c r="A259" s="8" t="s">
        <v>27</v>
      </c>
      <c r="B259" s="8" t="str">
        <f>"赵有柱"</f>
        <v>赵有柱</v>
      </c>
      <c r="C259" s="8" t="str">
        <f>"341126198912164038"</f>
        <v>341126198912164038</v>
      </c>
      <c r="D259" s="8" t="str">
        <f>"20200300923"</f>
        <v>20200300923</v>
      </c>
      <c r="E259" s="9">
        <v>47.8</v>
      </c>
      <c r="F259" s="9">
        <v>68</v>
      </c>
      <c r="G259" s="9">
        <f aca="true" t="shared" si="4" ref="G259:G322">E259+F259</f>
        <v>115.8</v>
      </c>
      <c r="H259" s="8"/>
    </row>
    <row r="260" spans="1:8" ht="22.5" customHeight="1">
      <c r="A260" s="8" t="s">
        <v>27</v>
      </c>
      <c r="B260" s="8" t="str">
        <f>"薛飞"</f>
        <v>薛飞</v>
      </c>
      <c r="C260" s="8" t="str">
        <f>"341182199102023212"</f>
        <v>341182199102023212</v>
      </c>
      <c r="D260" s="8" t="str">
        <f>"20200300713"</f>
        <v>20200300713</v>
      </c>
      <c r="E260" s="9">
        <v>45.1</v>
      </c>
      <c r="F260" s="9">
        <v>70</v>
      </c>
      <c r="G260" s="9">
        <f t="shared" si="4"/>
        <v>115.1</v>
      </c>
      <c r="H260" s="8"/>
    </row>
    <row r="261" spans="1:8" ht="22.5" customHeight="1">
      <c r="A261" s="8" t="s">
        <v>27</v>
      </c>
      <c r="B261" s="8" t="str">
        <f>"刘雨"</f>
        <v>刘雨</v>
      </c>
      <c r="C261" s="8" t="str">
        <f>"341182199308170429"</f>
        <v>341182199308170429</v>
      </c>
      <c r="D261" s="8" t="str">
        <f>"20200301018"</f>
        <v>20200301018</v>
      </c>
      <c r="E261" s="9">
        <v>41.6</v>
      </c>
      <c r="F261" s="9">
        <v>73.5</v>
      </c>
      <c r="G261" s="9">
        <f t="shared" si="4"/>
        <v>115.1</v>
      </c>
      <c r="H261" s="8"/>
    </row>
    <row r="262" spans="1:8" ht="22.5" customHeight="1">
      <c r="A262" s="8" t="s">
        <v>27</v>
      </c>
      <c r="B262" s="8" t="str">
        <f>"唐婉"</f>
        <v>唐婉</v>
      </c>
      <c r="C262" s="8" t="str">
        <f>"341182199309056222"</f>
        <v>341182199309056222</v>
      </c>
      <c r="D262" s="8" t="str">
        <f>"20200301105"</f>
        <v>20200301105</v>
      </c>
      <c r="E262" s="9">
        <v>48</v>
      </c>
      <c r="F262" s="9">
        <v>67</v>
      </c>
      <c r="G262" s="9">
        <f t="shared" si="4"/>
        <v>115</v>
      </c>
      <c r="H262" s="8"/>
    </row>
    <row r="263" spans="1:8" ht="22.5" customHeight="1">
      <c r="A263" s="8" t="s">
        <v>27</v>
      </c>
      <c r="B263" s="8" t="str">
        <f>"刘雅"</f>
        <v>刘雅</v>
      </c>
      <c r="C263" s="8" t="str">
        <f>"341126199702207321"</f>
        <v>341126199702207321</v>
      </c>
      <c r="D263" s="8" t="str">
        <f>"20200300712"</f>
        <v>20200300712</v>
      </c>
      <c r="E263" s="9">
        <v>41.3</v>
      </c>
      <c r="F263" s="9">
        <v>73.5</v>
      </c>
      <c r="G263" s="9">
        <f t="shared" si="4"/>
        <v>114.8</v>
      </c>
      <c r="H263" s="8"/>
    </row>
    <row r="264" spans="1:8" ht="22.5" customHeight="1">
      <c r="A264" s="8" t="s">
        <v>27</v>
      </c>
      <c r="B264" s="8" t="str">
        <f>"陈玉琳"</f>
        <v>陈玉琳</v>
      </c>
      <c r="C264" s="8" t="str">
        <f>"341182199808182629"</f>
        <v>341182199808182629</v>
      </c>
      <c r="D264" s="8" t="str">
        <f>"20200300704"</f>
        <v>20200300704</v>
      </c>
      <c r="E264" s="9">
        <v>44.2</v>
      </c>
      <c r="F264" s="9">
        <v>70.5</v>
      </c>
      <c r="G264" s="9">
        <f t="shared" si="4"/>
        <v>114.7</v>
      </c>
      <c r="H264" s="8"/>
    </row>
    <row r="265" spans="1:8" ht="22.5" customHeight="1">
      <c r="A265" s="8" t="s">
        <v>27</v>
      </c>
      <c r="B265" s="8" t="str">
        <f>"陈宇"</f>
        <v>陈宇</v>
      </c>
      <c r="C265" s="8" t="str">
        <f>"34112619970825652X"</f>
        <v>34112619970825652X</v>
      </c>
      <c r="D265" s="8" t="str">
        <f>"20200300910"</f>
        <v>20200300910</v>
      </c>
      <c r="E265" s="9">
        <v>43.7</v>
      </c>
      <c r="F265" s="9">
        <v>71</v>
      </c>
      <c r="G265" s="9">
        <f t="shared" si="4"/>
        <v>114.7</v>
      </c>
      <c r="H265" s="8"/>
    </row>
    <row r="266" spans="1:8" ht="22.5" customHeight="1">
      <c r="A266" s="8" t="s">
        <v>27</v>
      </c>
      <c r="B266" s="8" t="str">
        <f>"彭锦"</f>
        <v>彭锦</v>
      </c>
      <c r="C266" s="8" t="str">
        <f>"341127198906191423"</f>
        <v>341127198906191423</v>
      </c>
      <c r="D266" s="8" t="str">
        <f>"20200300701"</f>
        <v>20200300701</v>
      </c>
      <c r="E266" s="9">
        <v>44.1</v>
      </c>
      <c r="F266" s="9">
        <v>70.5</v>
      </c>
      <c r="G266" s="9">
        <f t="shared" si="4"/>
        <v>114.6</v>
      </c>
      <c r="H266" s="8"/>
    </row>
    <row r="267" spans="1:8" ht="22.5" customHeight="1">
      <c r="A267" s="8" t="s">
        <v>27</v>
      </c>
      <c r="B267" s="8" t="str">
        <f>"李昊琦"</f>
        <v>李昊琦</v>
      </c>
      <c r="C267" s="8" t="str">
        <f>"341122199309214423"</f>
        <v>341122199309214423</v>
      </c>
      <c r="D267" s="8" t="str">
        <f>"20200300907"</f>
        <v>20200300907</v>
      </c>
      <c r="E267" s="9">
        <v>44.7</v>
      </c>
      <c r="F267" s="9">
        <v>69.5</v>
      </c>
      <c r="G267" s="9">
        <f t="shared" si="4"/>
        <v>114.2</v>
      </c>
      <c r="H267" s="8"/>
    </row>
    <row r="268" spans="1:8" ht="22.5" customHeight="1">
      <c r="A268" s="8" t="s">
        <v>27</v>
      </c>
      <c r="B268" s="8" t="str">
        <f>"穆盼妹"</f>
        <v>穆盼妹</v>
      </c>
      <c r="C268" s="8" t="str">
        <f>"341182199306165642"</f>
        <v>341182199306165642</v>
      </c>
      <c r="D268" s="8" t="str">
        <f>"20200301022"</f>
        <v>20200301022</v>
      </c>
      <c r="E268" s="9">
        <v>39.7</v>
      </c>
      <c r="F268" s="9">
        <v>74.5</v>
      </c>
      <c r="G268" s="9">
        <f t="shared" si="4"/>
        <v>114.2</v>
      </c>
      <c r="H268" s="8"/>
    </row>
    <row r="269" spans="1:8" ht="22.5" customHeight="1">
      <c r="A269" s="8" t="s">
        <v>27</v>
      </c>
      <c r="B269" s="8" t="str">
        <f>"曹婷婷"</f>
        <v>曹婷婷</v>
      </c>
      <c r="C269" s="8" t="str">
        <f>"341182199503130027"</f>
        <v>341182199503130027</v>
      </c>
      <c r="D269" s="8" t="str">
        <f>"20200300813"</f>
        <v>20200300813</v>
      </c>
      <c r="E269" s="9">
        <v>44.3</v>
      </c>
      <c r="F269" s="9">
        <v>69.5</v>
      </c>
      <c r="G269" s="9">
        <f t="shared" si="4"/>
        <v>113.8</v>
      </c>
      <c r="H269" s="8"/>
    </row>
    <row r="270" spans="1:8" ht="22.5" customHeight="1">
      <c r="A270" s="8" t="s">
        <v>27</v>
      </c>
      <c r="B270" s="8" t="str">
        <f>"华丽"</f>
        <v>华丽</v>
      </c>
      <c r="C270" s="8" t="str">
        <f>"341181199210050625"</f>
        <v>341181199210050625</v>
      </c>
      <c r="D270" s="8" t="str">
        <f>"20200300727"</f>
        <v>20200300727</v>
      </c>
      <c r="E270" s="9">
        <v>47.7</v>
      </c>
      <c r="F270" s="9">
        <v>66</v>
      </c>
      <c r="G270" s="9">
        <f t="shared" si="4"/>
        <v>113.7</v>
      </c>
      <c r="H270" s="8"/>
    </row>
    <row r="271" spans="1:8" ht="22.5" customHeight="1">
      <c r="A271" s="8" t="s">
        <v>27</v>
      </c>
      <c r="B271" s="8" t="str">
        <f>"周旋"</f>
        <v>周旋</v>
      </c>
      <c r="C271" s="8" t="str">
        <f>"34118219890526025X"</f>
        <v>34118219890526025X</v>
      </c>
      <c r="D271" s="8" t="str">
        <f>"20200300703"</f>
        <v>20200300703</v>
      </c>
      <c r="E271" s="9">
        <v>45.8</v>
      </c>
      <c r="F271" s="9">
        <v>67.5</v>
      </c>
      <c r="G271" s="9">
        <f t="shared" si="4"/>
        <v>113.3</v>
      </c>
      <c r="H271" s="8"/>
    </row>
    <row r="272" spans="1:8" ht="22.5" customHeight="1">
      <c r="A272" s="8" t="s">
        <v>27</v>
      </c>
      <c r="B272" s="8" t="str">
        <f>"史佳怡"</f>
        <v>史佳怡</v>
      </c>
      <c r="C272" s="8" t="str">
        <f>"34132219971212842X"</f>
        <v>34132219971212842X</v>
      </c>
      <c r="D272" s="8" t="str">
        <f>"20200300718"</f>
        <v>20200300718</v>
      </c>
      <c r="E272" s="9">
        <v>44.4</v>
      </c>
      <c r="F272" s="9">
        <v>68.5</v>
      </c>
      <c r="G272" s="9">
        <f t="shared" si="4"/>
        <v>112.9</v>
      </c>
      <c r="H272" s="8"/>
    </row>
    <row r="273" spans="1:8" ht="22.5" customHeight="1">
      <c r="A273" s="8" t="s">
        <v>27</v>
      </c>
      <c r="B273" s="8" t="str">
        <f>"颜阁阁"</f>
        <v>颜阁阁</v>
      </c>
      <c r="C273" s="8" t="str">
        <f>"341182199611250026"</f>
        <v>341182199611250026</v>
      </c>
      <c r="D273" s="8" t="str">
        <f>"20200300819"</f>
        <v>20200300819</v>
      </c>
      <c r="E273" s="9">
        <v>45.6</v>
      </c>
      <c r="F273" s="9">
        <v>67</v>
      </c>
      <c r="G273" s="9">
        <f t="shared" si="4"/>
        <v>112.6</v>
      </c>
      <c r="H273" s="8"/>
    </row>
    <row r="274" spans="1:8" ht="22.5" customHeight="1">
      <c r="A274" s="8" t="s">
        <v>27</v>
      </c>
      <c r="B274" s="8" t="str">
        <f>"刘莉"</f>
        <v>刘莉</v>
      </c>
      <c r="C274" s="8" t="str">
        <f>"341182199512090426"</f>
        <v>341182199512090426</v>
      </c>
      <c r="D274" s="8" t="str">
        <f>"20200301030"</f>
        <v>20200301030</v>
      </c>
      <c r="E274" s="9">
        <v>49.5</v>
      </c>
      <c r="F274" s="9">
        <v>63</v>
      </c>
      <c r="G274" s="9">
        <f t="shared" si="4"/>
        <v>112.5</v>
      </c>
      <c r="H274" s="8"/>
    </row>
    <row r="275" spans="1:8" ht="22.5" customHeight="1">
      <c r="A275" s="8" t="s">
        <v>27</v>
      </c>
      <c r="B275" s="8" t="str">
        <f>"汪宗银"</f>
        <v>汪宗银</v>
      </c>
      <c r="C275" s="8" t="str">
        <f>"341182199005213620"</f>
        <v>341182199005213620</v>
      </c>
      <c r="D275" s="8" t="str">
        <f>"20200301010"</f>
        <v>20200301010</v>
      </c>
      <c r="E275" s="9">
        <v>43.9</v>
      </c>
      <c r="F275" s="9">
        <v>68.5</v>
      </c>
      <c r="G275" s="9">
        <f t="shared" si="4"/>
        <v>112.4</v>
      </c>
      <c r="H275" s="8"/>
    </row>
    <row r="276" spans="1:8" ht="22.5" customHeight="1">
      <c r="A276" s="8" t="s">
        <v>27</v>
      </c>
      <c r="B276" s="8" t="str">
        <f>"阚丽丽"</f>
        <v>阚丽丽</v>
      </c>
      <c r="C276" s="8" t="str">
        <f>"341182199002280027"</f>
        <v>341182199002280027</v>
      </c>
      <c r="D276" s="8" t="str">
        <f>"20200301007"</f>
        <v>20200301007</v>
      </c>
      <c r="E276" s="9">
        <v>41.6</v>
      </c>
      <c r="F276" s="9">
        <v>70</v>
      </c>
      <c r="G276" s="9">
        <f t="shared" si="4"/>
        <v>111.6</v>
      </c>
      <c r="H276" s="8"/>
    </row>
    <row r="277" spans="1:8" ht="22.5" customHeight="1">
      <c r="A277" s="8" t="s">
        <v>27</v>
      </c>
      <c r="B277" s="8" t="str">
        <f>"于涛"</f>
        <v>于涛</v>
      </c>
      <c r="C277" s="8" t="str">
        <f>"341182199608081612"</f>
        <v>341182199608081612</v>
      </c>
      <c r="D277" s="8" t="str">
        <f>"20200301028"</f>
        <v>20200301028</v>
      </c>
      <c r="E277" s="9">
        <v>46.2</v>
      </c>
      <c r="F277" s="9">
        <v>65</v>
      </c>
      <c r="G277" s="9">
        <f t="shared" si="4"/>
        <v>111.2</v>
      </c>
      <c r="H277" s="8"/>
    </row>
    <row r="278" spans="1:8" ht="22.5" customHeight="1">
      <c r="A278" s="8" t="s">
        <v>27</v>
      </c>
      <c r="B278" s="8" t="str">
        <f>"缪凡"</f>
        <v>缪凡</v>
      </c>
      <c r="C278" s="8" t="str">
        <f>"341182199010032226"</f>
        <v>341182199010032226</v>
      </c>
      <c r="D278" s="8" t="str">
        <f>"20200300829"</f>
        <v>20200300829</v>
      </c>
      <c r="E278" s="9">
        <v>50.5</v>
      </c>
      <c r="F278" s="9">
        <v>60.5</v>
      </c>
      <c r="G278" s="9">
        <f t="shared" si="4"/>
        <v>111</v>
      </c>
      <c r="H278" s="8"/>
    </row>
    <row r="279" spans="1:8" ht="22.5" customHeight="1">
      <c r="A279" s="8" t="s">
        <v>27</v>
      </c>
      <c r="B279" s="8" t="str">
        <f>"徐冬梅"</f>
        <v>徐冬梅</v>
      </c>
      <c r="C279" s="8" t="str">
        <f>"342623198511133424"</f>
        <v>342623198511133424</v>
      </c>
      <c r="D279" s="8" t="str">
        <f>"20200300815"</f>
        <v>20200300815</v>
      </c>
      <c r="E279" s="9">
        <v>40.2</v>
      </c>
      <c r="F279" s="9">
        <v>70.5</v>
      </c>
      <c r="G279" s="9">
        <f t="shared" si="4"/>
        <v>110.7</v>
      </c>
      <c r="H279" s="8"/>
    </row>
    <row r="280" spans="1:8" ht="22.5" customHeight="1">
      <c r="A280" s="8" t="s">
        <v>27</v>
      </c>
      <c r="B280" s="8" t="str">
        <f>"夏磊"</f>
        <v>夏磊</v>
      </c>
      <c r="C280" s="8" t="str">
        <f>"341103199511034013"</f>
        <v>341103199511034013</v>
      </c>
      <c r="D280" s="8" t="str">
        <f>"20200301101"</f>
        <v>20200301101</v>
      </c>
      <c r="E280" s="9">
        <v>43.5</v>
      </c>
      <c r="F280" s="9">
        <v>67</v>
      </c>
      <c r="G280" s="9">
        <f t="shared" si="4"/>
        <v>110.5</v>
      </c>
      <c r="H280" s="8"/>
    </row>
    <row r="281" spans="1:8" ht="22.5" customHeight="1">
      <c r="A281" s="8" t="s">
        <v>27</v>
      </c>
      <c r="B281" s="8" t="str">
        <f>"杨林花"</f>
        <v>杨林花</v>
      </c>
      <c r="C281" s="8" t="str">
        <f>"341182199304031624"</f>
        <v>341182199304031624</v>
      </c>
      <c r="D281" s="8" t="str">
        <f>"20200301116"</f>
        <v>20200301116</v>
      </c>
      <c r="E281" s="9">
        <v>41.5</v>
      </c>
      <c r="F281" s="9">
        <v>69</v>
      </c>
      <c r="G281" s="9">
        <f t="shared" si="4"/>
        <v>110.5</v>
      </c>
      <c r="H281" s="8"/>
    </row>
    <row r="282" spans="1:8" ht="22.5" customHeight="1">
      <c r="A282" s="8" t="s">
        <v>27</v>
      </c>
      <c r="B282" s="8" t="str">
        <f>"丁芳"</f>
        <v>丁芳</v>
      </c>
      <c r="C282" s="8" t="str">
        <f>"342225199011214506"</f>
        <v>342225199011214506</v>
      </c>
      <c r="D282" s="8" t="str">
        <f>"20200301025"</f>
        <v>20200301025</v>
      </c>
      <c r="E282" s="9">
        <v>45.7</v>
      </c>
      <c r="F282" s="9">
        <v>64.5</v>
      </c>
      <c r="G282" s="9">
        <f t="shared" si="4"/>
        <v>110.2</v>
      </c>
      <c r="H282" s="8"/>
    </row>
    <row r="283" spans="1:8" ht="22.5" customHeight="1">
      <c r="A283" s="8" t="s">
        <v>27</v>
      </c>
      <c r="B283" s="8" t="str">
        <f>"许莎莎"</f>
        <v>许莎莎</v>
      </c>
      <c r="C283" s="8" t="str">
        <f>"341102198901201023"</f>
        <v>341102198901201023</v>
      </c>
      <c r="D283" s="8" t="str">
        <f>"20200300909"</f>
        <v>20200300909</v>
      </c>
      <c r="E283" s="9">
        <v>43.1</v>
      </c>
      <c r="F283" s="9">
        <v>66.5</v>
      </c>
      <c r="G283" s="9">
        <f t="shared" si="4"/>
        <v>109.6</v>
      </c>
      <c r="H283" s="8"/>
    </row>
    <row r="284" spans="1:8" ht="22.5" customHeight="1">
      <c r="A284" s="8" t="s">
        <v>27</v>
      </c>
      <c r="B284" s="8" t="str">
        <f>"陈生月"</f>
        <v>陈生月</v>
      </c>
      <c r="C284" s="8" t="str">
        <f>"341182199305302625"</f>
        <v>341182199305302625</v>
      </c>
      <c r="D284" s="8" t="str">
        <f>"20200300901"</f>
        <v>20200300901</v>
      </c>
      <c r="E284" s="9">
        <v>39.5</v>
      </c>
      <c r="F284" s="9">
        <v>70</v>
      </c>
      <c r="G284" s="9">
        <f t="shared" si="4"/>
        <v>109.5</v>
      </c>
      <c r="H284" s="8"/>
    </row>
    <row r="285" spans="1:8" ht="22.5" customHeight="1">
      <c r="A285" s="8" t="s">
        <v>27</v>
      </c>
      <c r="B285" s="8" t="str">
        <f>"余慧敏"</f>
        <v>余慧敏</v>
      </c>
      <c r="C285" s="8" t="str">
        <f>"341182199610106225"</f>
        <v>341182199610106225</v>
      </c>
      <c r="D285" s="8" t="str">
        <f>"20200301011"</f>
        <v>20200301011</v>
      </c>
      <c r="E285" s="9">
        <v>42.8</v>
      </c>
      <c r="F285" s="9">
        <v>66.5</v>
      </c>
      <c r="G285" s="9">
        <f t="shared" si="4"/>
        <v>109.3</v>
      </c>
      <c r="H285" s="8"/>
    </row>
    <row r="286" spans="1:8" ht="22.5" customHeight="1">
      <c r="A286" s="8" t="s">
        <v>27</v>
      </c>
      <c r="B286" s="8" t="str">
        <f>"刘齐"</f>
        <v>刘齐</v>
      </c>
      <c r="C286" s="8" t="str">
        <f>"341126199308271210"</f>
        <v>341126199308271210</v>
      </c>
      <c r="D286" s="8" t="str">
        <f>"20200301029"</f>
        <v>20200301029</v>
      </c>
      <c r="E286" s="9">
        <v>42.6</v>
      </c>
      <c r="F286" s="9">
        <v>66.5</v>
      </c>
      <c r="G286" s="9">
        <f t="shared" si="4"/>
        <v>109.1</v>
      </c>
      <c r="H286" s="8"/>
    </row>
    <row r="287" spans="1:8" ht="22.5" customHeight="1">
      <c r="A287" s="8" t="s">
        <v>27</v>
      </c>
      <c r="B287" s="8" t="str">
        <f>"桑茜"</f>
        <v>桑茜</v>
      </c>
      <c r="C287" s="8" t="str">
        <f>"340322199306010062"</f>
        <v>340322199306010062</v>
      </c>
      <c r="D287" s="8" t="str">
        <f>"20200300825"</f>
        <v>20200300825</v>
      </c>
      <c r="E287" s="9">
        <v>42.2</v>
      </c>
      <c r="F287" s="9">
        <v>66.5</v>
      </c>
      <c r="G287" s="9">
        <f t="shared" si="4"/>
        <v>108.7</v>
      </c>
      <c r="H287" s="8"/>
    </row>
    <row r="288" spans="1:8" ht="22.5" customHeight="1">
      <c r="A288" s="8" t="s">
        <v>27</v>
      </c>
      <c r="B288" s="8" t="str">
        <f>"孙梦茹"</f>
        <v>孙梦茹</v>
      </c>
      <c r="C288" s="8" t="str">
        <f>"341182199512044825"</f>
        <v>341182199512044825</v>
      </c>
      <c r="D288" s="8" t="str">
        <f>"20200300803"</f>
        <v>20200300803</v>
      </c>
      <c r="E288" s="9">
        <v>40.5</v>
      </c>
      <c r="F288" s="9">
        <v>68</v>
      </c>
      <c r="G288" s="9">
        <f t="shared" si="4"/>
        <v>108.5</v>
      </c>
      <c r="H288" s="8"/>
    </row>
    <row r="289" spans="1:8" ht="22.5" customHeight="1">
      <c r="A289" s="8" t="s">
        <v>27</v>
      </c>
      <c r="B289" s="8" t="str">
        <f>"张颖"</f>
        <v>张颖</v>
      </c>
      <c r="C289" s="8" t="str">
        <f>"341127199411012424"</f>
        <v>341127199411012424</v>
      </c>
      <c r="D289" s="8" t="str">
        <f>"20200301103"</f>
        <v>20200301103</v>
      </c>
      <c r="E289" s="9">
        <v>44.8</v>
      </c>
      <c r="F289" s="9">
        <v>63.5</v>
      </c>
      <c r="G289" s="9">
        <f t="shared" si="4"/>
        <v>108.3</v>
      </c>
      <c r="H289" s="8"/>
    </row>
    <row r="290" spans="1:8" ht="22.5" customHeight="1">
      <c r="A290" s="8" t="s">
        <v>27</v>
      </c>
      <c r="B290" s="8" t="str">
        <f>"储末娟"</f>
        <v>储末娟</v>
      </c>
      <c r="C290" s="8" t="str">
        <f>"341182199209081228"</f>
        <v>341182199209081228</v>
      </c>
      <c r="D290" s="8" t="str">
        <f>"20200300917"</f>
        <v>20200300917</v>
      </c>
      <c r="E290" s="9">
        <v>39</v>
      </c>
      <c r="F290" s="9">
        <v>68.5</v>
      </c>
      <c r="G290" s="9">
        <f t="shared" si="4"/>
        <v>107.5</v>
      </c>
      <c r="H290" s="8"/>
    </row>
    <row r="291" spans="1:8" ht="22.5" customHeight="1">
      <c r="A291" s="8" t="s">
        <v>27</v>
      </c>
      <c r="B291" s="8" t="str">
        <f>"王菲"</f>
        <v>王菲</v>
      </c>
      <c r="C291" s="8" t="str">
        <f>"341103199911263827"</f>
        <v>341103199911263827</v>
      </c>
      <c r="D291" s="8" t="str">
        <f>"20200300722"</f>
        <v>20200300722</v>
      </c>
      <c r="E291" s="9">
        <v>39.4</v>
      </c>
      <c r="F291" s="9">
        <v>68</v>
      </c>
      <c r="G291" s="9">
        <f t="shared" si="4"/>
        <v>107.4</v>
      </c>
      <c r="H291" s="8"/>
    </row>
    <row r="292" spans="1:8" ht="22.5" customHeight="1">
      <c r="A292" s="8" t="s">
        <v>27</v>
      </c>
      <c r="B292" s="8" t="str">
        <f>"张小力"</f>
        <v>张小力</v>
      </c>
      <c r="C292" s="8" t="str">
        <f>"340322199006091622"</f>
        <v>340322199006091622</v>
      </c>
      <c r="D292" s="8" t="str">
        <f>"20200300709"</f>
        <v>20200300709</v>
      </c>
      <c r="E292" s="9">
        <v>41.6</v>
      </c>
      <c r="F292" s="9">
        <v>65</v>
      </c>
      <c r="G292" s="9">
        <f t="shared" si="4"/>
        <v>106.6</v>
      </c>
      <c r="H292" s="8"/>
    </row>
    <row r="293" spans="1:8" ht="22.5" customHeight="1">
      <c r="A293" s="8" t="s">
        <v>27</v>
      </c>
      <c r="B293" s="8" t="str">
        <f>"洪秀"</f>
        <v>洪秀</v>
      </c>
      <c r="C293" s="8" t="str">
        <f>"341182198912083423"</f>
        <v>341182198912083423</v>
      </c>
      <c r="D293" s="8" t="str">
        <f>"20200300820"</f>
        <v>20200300820</v>
      </c>
      <c r="E293" s="9">
        <v>37.9</v>
      </c>
      <c r="F293" s="9">
        <v>68.5</v>
      </c>
      <c r="G293" s="9">
        <f t="shared" si="4"/>
        <v>106.4</v>
      </c>
      <c r="H293" s="8"/>
    </row>
    <row r="294" spans="1:8" ht="22.5" customHeight="1">
      <c r="A294" s="8" t="s">
        <v>27</v>
      </c>
      <c r="B294" s="8" t="str">
        <f>"吴雪"</f>
        <v>吴雪</v>
      </c>
      <c r="C294" s="8" t="str">
        <f>"341182199704142227"</f>
        <v>341182199704142227</v>
      </c>
      <c r="D294" s="8" t="str">
        <f>"20200300814"</f>
        <v>20200300814</v>
      </c>
      <c r="E294" s="9">
        <v>39.4</v>
      </c>
      <c r="F294" s="9">
        <v>65</v>
      </c>
      <c r="G294" s="9">
        <f t="shared" si="4"/>
        <v>104.4</v>
      </c>
      <c r="H294" s="8"/>
    </row>
    <row r="295" spans="1:8" ht="22.5" customHeight="1">
      <c r="A295" s="8" t="s">
        <v>27</v>
      </c>
      <c r="B295" s="8" t="str">
        <f>"陈紫妍"</f>
        <v>陈紫妍</v>
      </c>
      <c r="C295" s="8" t="str">
        <f>"341182199608120423"</f>
        <v>341182199608120423</v>
      </c>
      <c r="D295" s="8" t="str">
        <f>"20200300702"</f>
        <v>20200300702</v>
      </c>
      <c r="E295" s="9">
        <v>38.8</v>
      </c>
      <c r="F295" s="9">
        <v>65</v>
      </c>
      <c r="G295" s="9">
        <f t="shared" si="4"/>
        <v>103.8</v>
      </c>
      <c r="H295" s="8"/>
    </row>
    <row r="296" spans="1:8" ht="22.5" customHeight="1">
      <c r="A296" s="8" t="s">
        <v>27</v>
      </c>
      <c r="B296" s="8" t="str">
        <f>"王福瑾"</f>
        <v>王福瑾</v>
      </c>
      <c r="C296" s="8" t="str">
        <f>"341182199709154024"</f>
        <v>341182199709154024</v>
      </c>
      <c r="D296" s="8" t="str">
        <f>"20200301006"</f>
        <v>20200301006</v>
      </c>
      <c r="E296" s="9">
        <v>32.1</v>
      </c>
      <c r="F296" s="9">
        <v>71.5</v>
      </c>
      <c r="G296" s="9">
        <f t="shared" si="4"/>
        <v>103.6</v>
      </c>
      <c r="H296" s="8"/>
    </row>
    <row r="297" spans="1:8" ht="22.5" customHeight="1">
      <c r="A297" s="8" t="s">
        <v>27</v>
      </c>
      <c r="B297" s="8" t="str">
        <f>"王雪婷"</f>
        <v>王雪婷</v>
      </c>
      <c r="C297" s="8" t="str">
        <f>"341182199909145827"</f>
        <v>341182199909145827</v>
      </c>
      <c r="D297" s="8" t="str">
        <f>"20200301117"</f>
        <v>20200301117</v>
      </c>
      <c r="E297" s="9">
        <v>38.5</v>
      </c>
      <c r="F297" s="9">
        <v>63.5</v>
      </c>
      <c r="G297" s="9">
        <f t="shared" si="4"/>
        <v>102</v>
      </c>
      <c r="H297" s="8"/>
    </row>
    <row r="298" spans="1:8" ht="22.5" customHeight="1">
      <c r="A298" s="8" t="s">
        <v>27</v>
      </c>
      <c r="B298" s="8" t="str">
        <f>"蒋雨"</f>
        <v>蒋雨</v>
      </c>
      <c r="C298" s="8" t="str">
        <f>"341182199703206225"</f>
        <v>341182199703206225</v>
      </c>
      <c r="D298" s="8" t="str">
        <f>"20200300719"</f>
        <v>20200300719</v>
      </c>
      <c r="E298" s="9">
        <v>30.9</v>
      </c>
      <c r="F298" s="9">
        <v>69.5</v>
      </c>
      <c r="G298" s="9">
        <f t="shared" si="4"/>
        <v>100.4</v>
      </c>
      <c r="H298" s="8"/>
    </row>
    <row r="299" spans="1:8" ht="22.5" customHeight="1">
      <c r="A299" s="8" t="s">
        <v>27</v>
      </c>
      <c r="B299" s="8" t="str">
        <f>"姚薇"</f>
        <v>姚薇</v>
      </c>
      <c r="C299" s="8" t="str">
        <f>"341182199211020440"</f>
        <v>341182199211020440</v>
      </c>
      <c r="D299" s="8" t="str">
        <f>"20200300808"</f>
        <v>20200300808</v>
      </c>
      <c r="E299" s="9">
        <v>34.4</v>
      </c>
      <c r="F299" s="9">
        <v>66</v>
      </c>
      <c r="G299" s="9">
        <f t="shared" si="4"/>
        <v>100.4</v>
      </c>
      <c r="H299" s="8"/>
    </row>
    <row r="300" spans="1:8" ht="22.5" customHeight="1">
      <c r="A300" s="8" t="s">
        <v>27</v>
      </c>
      <c r="B300" s="8" t="str">
        <f>"禹姗姗"</f>
        <v>禹姗姗</v>
      </c>
      <c r="C300" s="8" t="str">
        <f>"341182199505153820"</f>
        <v>341182199505153820</v>
      </c>
      <c r="D300" s="8" t="str">
        <f>"20200300913"</f>
        <v>20200300913</v>
      </c>
      <c r="E300" s="9">
        <v>49.1</v>
      </c>
      <c r="F300" s="9">
        <v>50.5</v>
      </c>
      <c r="G300" s="9">
        <f t="shared" si="4"/>
        <v>99.6</v>
      </c>
      <c r="H300" s="8"/>
    </row>
    <row r="301" spans="1:8" ht="22.5" customHeight="1">
      <c r="A301" s="8" t="s">
        <v>27</v>
      </c>
      <c r="B301" s="8" t="str">
        <f>"蔡慧敏"</f>
        <v>蔡慧敏</v>
      </c>
      <c r="C301" s="8" t="str">
        <f>"341182199406044629"</f>
        <v>341182199406044629</v>
      </c>
      <c r="D301" s="8" t="str">
        <f>"20200300707"</f>
        <v>20200300707</v>
      </c>
      <c r="E301" s="9">
        <v>35.1</v>
      </c>
      <c r="F301" s="9">
        <v>64</v>
      </c>
      <c r="G301" s="9">
        <f t="shared" si="4"/>
        <v>99.1</v>
      </c>
      <c r="H301" s="8"/>
    </row>
    <row r="302" spans="1:8" ht="22.5" customHeight="1">
      <c r="A302" s="8" t="s">
        <v>27</v>
      </c>
      <c r="B302" s="8" t="str">
        <f>"阚培培"</f>
        <v>阚培培</v>
      </c>
      <c r="C302" s="8" t="str">
        <f>"341182199011204624"</f>
        <v>341182199011204624</v>
      </c>
      <c r="D302" s="8" t="str">
        <f>"20200301112"</f>
        <v>20200301112</v>
      </c>
      <c r="E302" s="9">
        <v>26</v>
      </c>
      <c r="F302" s="9">
        <v>63</v>
      </c>
      <c r="G302" s="9">
        <f t="shared" si="4"/>
        <v>89</v>
      </c>
      <c r="H302" s="8"/>
    </row>
    <row r="303" spans="1:8" ht="22.5" customHeight="1">
      <c r="A303" s="8" t="s">
        <v>27</v>
      </c>
      <c r="B303" s="8" t="str">
        <f>"张凤专"</f>
        <v>张凤专</v>
      </c>
      <c r="C303" s="8" t="str">
        <f>"341126198702022322"</f>
        <v>341126198702022322</v>
      </c>
      <c r="D303" s="8" t="str">
        <f>"20200300804"</f>
        <v>20200300804</v>
      </c>
      <c r="E303" s="9">
        <v>29.1</v>
      </c>
      <c r="F303" s="9">
        <v>51.5</v>
      </c>
      <c r="G303" s="9">
        <f t="shared" si="4"/>
        <v>80.6</v>
      </c>
      <c r="H303" s="8"/>
    </row>
    <row r="304" spans="1:8" ht="22.5" customHeight="1">
      <c r="A304" s="8" t="s">
        <v>27</v>
      </c>
      <c r="B304" s="8" t="str">
        <f>"沈泽"</f>
        <v>沈泽</v>
      </c>
      <c r="C304" s="8" t="str">
        <f>"341127199408060038"</f>
        <v>341127199408060038</v>
      </c>
      <c r="D304" s="8" t="str">
        <f>"20200300725"</f>
        <v>20200300725</v>
      </c>
      <c r="E304" s="9">
        <v>46</v>
      </c>
      <c r="F304" s="9">
        <v>20.5</v>
      </c>
      <c r="G304" s="9">
        <f t="shared" si="4"/>
        <v>66.5</v>
      </c>
      <c r="H304" s="8"/>
    </row>
    <row r="305" spans="1:8" ht="22.5" customHeight="1">
      <c r="A305" s="8" t="s">
        <v>27</v>
      </c>
      <c r="B305" s="8" t="str">
        <f>"魏乔"</f>
        <v>魏乔</v>
      </c>
      <c r="C305" s="8" t="str">
        <f>"341182198908013027"</f>
        <v>341182198908013027</v>
      </c>
      <c r="D305" s="8" t="str">
        <f>"20200300919"</f>
        <v>20200300919</v>
      </c>
      <c r="E305" s="9">
        <v>4.6</v>
      </c>
      <c r="F305" s="9">
        <v>0</v>
      </c>
      <c r="G305" s="9">
        <f t="shared" si="4"/>
        <v>4.6</v>
      </c>
      <c r="H305" s="12" t="s">
        <v>28</v>
      </c>
    </row>
    <row r="306" spans="1:8" ht="22.5" customHeight="1">
      <c r="A306" s="8" t="s">
        <v>27</v>
      </c>
      <c r="B306" s="8" t="str">
        <f>"朱媛媛"</f>
        <v>朱媛媛</v>
      </c>
      <c r="C306" s="8" t="str">
        <f>"341182199408100022"</f>
        <v>341182199408100022</v>
      </c>
      <c r="D306" s="8" t="str">
        <f>"20200300705"</f>
        <v>20200300705</v>
      </c>
      <c r="E306" s="9">
        <v>0</v>
      </c>
      <c r="F306" s="9">
        <v>0</v>
      </c>
      <c r="G306" s="9">
        <f t="shared" si="4"/>
        <v>0</v>
      </c>
      <c r="H306" s="8" t="s">
        <v>10</v>
      </c>
    </row>
    <row r="307" spans="1:8" ht="22.5" customHeight="1">
      <c r="A307" s="8" t="s">
        <v>27</v>
      </c>
      <c r="B307" s="8" t="str">
        <f>"许健"</f>
        <v>许健</v>
      </c>
      <c r="C307" s="8" t="str">
        <f>"341125199502286516"</f>
        <v>341125199502286516</v>
      </c>
      <c r="D307" s="8" t="str">
        <f>"20200300721"</f>
        <v>20200300721</v>
      </c>
      <c r="E307" s="9">
        <v>0</v>
      </c>
      <c r="F307" s="9">
        <v>0</v>
      </c>
      <c r="G307" s="9">
        <f t="shared" si="4"/>
        <v>0</v>
      </c>
      <c r="H307" s="8" t="s">
        <v>10</v>
      </c>
    </row>
    <row r="308" spans="1:8" ht="22.5" customHeight="1">
      <c r="A308" s="8" t="s">
        <v>27</v>
      </c>
      <c r="B308" s="8" t="str">
        <f>"孙传熠"</f>
        <v>孙传熠</v>
      </c>
      <c r="C308" s="8" t="str">
        <f>"341126199805200712"</f>
        <v>341126199805200712</v>
      </c>
      <c r="D308" s="8" t="str">
        <f>"20200300729"</f>
        <v>20200300729</v>
      </c>
      <c r="E308" s="9">
        <v>0</v>
      </c>
      <c r="F308" s="9">
        <v>0</v>
      </c>
      <c r="G308" s="9">
        <f t="shared" si="4"/>
        <v>0</v>
      </c>
      <c r="H308" s="8" t="s">
        <v>10</v>
      </c>
    </row>
    <row r="309" spans="1:8" ht="22.5" customHeight="1">
      <c r="A309" s="8" t="s">
        <v>27</v>
      </c>
      <c r="B309" s="8" t="str">
        <f>"茆成磊"</f>
        <v>茆成磊</v>
      </c>
      <c r="C309" s="8" t="str">
        <f>"341182199606152413"</f>
        <v>341182199606152413</v>
      </c>
      <c r="D309" s="8" t="str">
        <f>"20200300810"</f>
        <v>20200300810</v>
      </c>
      <c r="E309" s="9">
        <v>0</v>
      </c>
      <c r="F309" s="9">
        <v>0</v>
      </c>
      <c r="G309" s="9">
        <f t="shared" si="4"/>
        <v>0</v>
      </c>
      <c r="H309" s="8" t="s">
        <v>10</v>
      </c>
    </row>
    <row r="310" spans="1:8" ht="22.5" customHeight="1">
      <c r="A310" s="8" t="s">
        <v>27</v>
      </c>
      <c r="B310" s="8" t="str">
        <f>"桑瑜"</f>
        <v>桑瑜</v>
      </c>
      <c r="C310" s="8" t="str">
        <f>"34118219950923023X"</f>
        <v>34118219950923023X</v>
      </c>
      <c r="D310" s="8" t="str">
        <f>"20200300811"</f>
        <v>20200300811</v>
      </c>
      <c r="E310" s="9">
        <v>0</v>
      </c>
      <c r="F310" s="9">
        <v>0</v>
      </c>
      <c r="G310" s="9">
        <f t="shared" si="4"/>
        <v>0</v>
      </c>
      <c r="H310" s="8" t="s">
        <v>10</v>
      </c>
    </row>
    <row r="311" spans="1:8" ht="22.5" customHeight="1">
      <c r="A311" s="8" t="s">
        <v>27</v>
      </c>
      <c r="B311" s="8" t="str">
        <f>"李颖"</f>
        <v>李颖</v>
      </c>
      <c r="C311" s="8" t="str">
        <f>"341182199709133629"</f>
        <v>341182199709133629</v>
      </c>
      <c r="D311" s="8" t="str">
        <f>"20200300830"</f>
        <v>20200300830</v>
      </c>
      <c r="E311" s="9">
        <v>0</v>
      </c>
      <c r="F311" s="9">
        <v>0</v>
      </c>
      <c r="G311" s="9">
        <f t="shared" si="4"/>
        <v>0</v>
      </c>
      <c r="H311" s="8" t="s">
        <v>10</v>
      </c>
    </row>
    <row r="312" spans="1:8" ht="22.5" customHeight="1">
      <c r="A312" s="8" t="s">
        <v>27</v>
      </c>
      <c r="B312" s="8" t="str">
        <f>"蔡月如"</f>
        <v>蔡月如</v>
      </c>
      <c r="C312" s="8" t="str">
        <f>"341182199305084648"</f>
        <v>341182199305084648</v>
      </c>
      <c r="D312" s="8" t="str">
        <f>"20200300902"</f>
        <v>20200300902</v>
      </c>
      <c r="E312" s="9">
        <v>0</v>
      </c>
      <c r="F312" s="9">
        <v>0</v>
      </c>
      <c r="G312" s="9">
        <f t="shared" si="4"/>
        <v>0</v>
      </c>
      <c r="H312" s="8" t="s">
        <v>10</v>
      </c>
    </row>
    <row r="313" spans="1:8" ht="22.5" customHeight="1">
      <c r="A313" s="8" t="s">
        <v>27</v>
      </c>
      <c r="B313" s="8" t="str">
        <f>"陈文欣"</f>
        <v>陈文欣</v>
      </c>
      <c r="C313" s="8" t="str">
        <f>"321183198805020040"</f>
        <v>321183198805020040</v>
      </c>
      <c r="D313" s="8" t="str">
        <f>"20200300903"</f>
        <v>20200300903</v>
      </c>
      <c r="E313" s="9">
        <v>0</v>
      </c>
      <c r="F313" s="9">
        <v>0</v>
      </c>
      <c r="G313" s="9">
        <f t="shared" si="4"/>
        <v>0</v>
      </c>
      <c r="H313" s="8" t="s">
        <v>10</v>
      </c>
    </row>
    <row r="314" spans="1:8" ht="22.5" customHeight="1">
      <c r="A314" s="8" t="s">
        <v>27</v>
      </c>
      <c r="B314" s="8" t="str">
        <f>"潘琳琳"</f>
        <v>潘琳琳</v>
      </c>
      <c r="C314" s="8" t="str">
        <f>"320830198701090022"</f>
        <v>320830198701090022</v>
      </c>
      <c r="D314" s="8" t="str">
        <f>"20200300914"</f>
        <v>20200300914</v>
      </c>
      <c r="E314" s="9">
        <v>0</v>
      </c>
      <c r="F314" s="9">
        <v>0</v>
      </c>
      <c r="G314" s="9">
        <f t="shared" si="4"/>
        <v>0</v>
      </c>
      <c r="H314" s="8" t="s">
        <v>10</v>
      </c>
    </row>
    <row r="315" spans="1:8" ht="22.5" customHeight="1">
      <c r="A315" s="8" t="s">
        <v>27</v>
      </c>
      <c r="B315" s="8" t="str">
        <f>"梁晨程"</f>
        <v>梁晨程</v>
      </c>
      <c r="C315" s="8" t="str">
        <f>"341182199210070016"</f>
        <v>341182199210070016</v>
      </c>
      <c r="D315" s="8" t="str">
        <f>"20200301002"</f>
        <v>20200301002</v>
      </c>
      <c r="E315" s="9">
        <v>0</v>
      </c>
      <c r="F315" s="9">
        <v>0</v>
      </c>
      <c r="G315" s="9">
        <f t="shared" si="4"/>
        <v>0</v>
      </c>
      <c r="H315" s="8" t="s">
        <v>10</v>
      </c>
    </row>
    <row r="316" spans="1:8" ht="22.5" customHeight="1">
      <c r="A316" s="8" t="s">
        <v>27</v>
      </c>
      <c r="B316" s="8" t="str">
        <f>"陶然"</f>
        <v>陶然</v>
      </c>
      <c r="C316" s="8" t="str">
        <f>"342622198805020277"</f>
        <v>342622198805020277</v>
      </c>
      <c r="D316" s="8" t="str">
        <f>"20200301014"</f>
        <v>20200301014</v>
      </c>
      <c r="E316" s="9">
        <v>0</v>
      </c>
      <c r="F316" s="9">
        <v>0</v>
      </c>
      <c r="G316" s="9">
        <f t="shared" si="4"/>
        <v>0</v>
      </c>
      <c r="H316" s="8" t="s">
        <v>10</v>
      </c>
    </row>
    <row r="317" spans="1:8" ht="22.5" customHeight="1">
      <c r="A317" s="8" t="s">
        <v>27</v>
      </c>
      <c r="B317" s="8" t="str">
        <f>"童玮玮"</f>
        <v>童玮玮</v>
      </c>
      <c r="C317" s="8" t="str">
        <f>"34012119900507310X"</f>
        <v>34012119900507310X</v>
      </c>
      <c r="D317" s="8" t="str">
        <f>"20200301023"</f>
        <v>20200301023</v>
      </c>
      <c r="E317" s="9">
        <v>0</v>
      </c>
      <c r="F317" s="9">
        <v>0</v>
      </c>
      <c r="G317" s="9">
        <f t="shared" si="4"/>
        <v>0</v>
      </c>
      <c r="H317" s="8" t="s">
        <v>10</v>
      </c>
    </row>
    <row r="318" spans="1:8" ht="22.5" customHeight="1">
      <c r="A318" s="8" t="s">
        <v>27</v>
      </c>
      <c r="B318" s="8" t="str">
        <f>"朱北斗"</f>
        <v>朱北斗</v>
      </c>
      <c r="C318" s="8" t="str">
        <f>"341182199108110026"</f>
        <v>341182199108110026</v>
      </c>
      <c r="D318" s="8" t="str">
        <f>"20200301024"</f>
        <v>20200301024</v>
      </c>
      <c r="E318" s="9">
        <v>0</v>
      </c>
      <c r="F318" s="9">
        <v>0</v>
      </c>
      <c r="G318" s="9">
        <f t="shared" si="4"/>
        <v>0</v>
      </c>
      <c r="H318" s="8" t="s">
        <v>10</v>
      </c>
    </row>
    <row r="319" spans="1:8" ht="22.5" customHeight="1">
      <c r="A319" s="8" t="s">
        <v>27</v>
      </c>
      <c r="B319" s="8" t="str">
        <f>"钱程"</f>
        <v>钱程</v>
      </c>
      <c r="C319" s="8" t="str">
        <f>"340322199411020019"</f>
        <v>340322199411020019</v>
      </c>
      <c r="D319" s="8" t="str">
        <f>"20200301113"</f>
        <v>20200301113</v>
      </c>
      <c r="E319" s="9">
        <v>0</v>
      </c>
      <c r="F319" s="9">
        <v>0</v>
      </c>
      <c r="G319" s="9">
        <f t="shared" si="4"/>
        <v>0</v>
      </c>
      <c r="H319" s="8" t="s">
        <v>10</v>
      </c>
    </row>
    <row r="320" spans="1:8" ht="22.5" customHeight="1">
      <c r="A320" s="8" t="s">
        <v>27</v>
      </c>
      <c r="B320" s="8" t="str">
        <f>"钟磊"</f>
        <v>钟磊</v>
      </c>
      <c r="C320" s="8" t="str">
        <f>"341182199105040210"</f>
        <v>341182199105040210</v>
      </c>
      <c r="D320" s="8" t="str">
        <f>"20200301114"</f>
        <v>20200301114</v>
      </c>
      <c r="E320" s="9">
        <v>0</v>
      </c>
      <c r="F320" s="9">
        <v>0</v>
      </c>
      <c r="G320" s="9">
        <f t="shared" si="4"/>
        <v>0</v>
      </c>
      <c r="H320" s="8" t="s">
        <v>10</v>
      </c>
    </row>
    <row r="321" spans="1:8" ht="22.5" customHeight="1">
      <c r="A321" s="8" t="s">
        <v>27</v>
      </c>
      <c r="B321" s="8" t="str">
        <f>"王梦琪"</f>
        <v>王梦琪</v>
      </c>
      <c r="C321" s="8" t="str">
        <f>"341102199209056426"</f>
        <v>341102199209056426</v>
      </c>
      <c r="D321" s="8" t="str">
        <f>"20200301119"</f>
        <v>20200301119</v>
      </c>
      <c r="E321" s="9">
        <v>0</v>
      </c>
      <c r="F321" s="9">
        <v>0</v>
      </c>
      <c r="G321" s="9">
        <f t="shared" si="4"/>
        <v>0</v>
      </c>
      <c r="H321" s="8" t="s">
        <v>10</v>
      </c>
    </row>
    <row r="322" spans="1:8" ht="22.5" customHeight="1">
      <c r="A322" s="8" t="s">
        <v>27</v>
      </c>
      <c r="B322" s="8" t="str">
        <f>"陈晨"</f>
        <v>陈晨</v>
      </c>
      <c r="C322" s="8" t="str">
        <f>"341182199512262814"</f>
        <v>341182199512262814</v>
      </c>
      <c r="D322" s="8" t="str">
        <f>"20200301120"</f>
        <v>20200301120</v>
      </c>
      <c r="E322" s="9">
        <v>0</v>
      </c>
      <c r="F322" s="9">
        <v>0</v>
      </c>
      <c r="G322" s="9">
        <f t="shared" si="4"/>
        <v>0</v>
      </c>
      <c r="H322" s="8" t="s">
        <v>10</v>
      </c>
    </row>
    <row r="323" spans="1:8" ht="22.5" customHeight="1">
      <c r="A323" s="8" t="s">
        <v>27</v>
      </c>
      <c r="B323" s="8" t="str">
        <f>"冯天然"</f>
        <v>冯天然</v>
      </c>
      <c r="C323" s="8" t="str">
        <f>"341182198904090623"</f>
        <v>341182198904090623</v>
      </c>
      <c r="D323" s="8" t="str">
        <f>"20200301121"</f>
        <v>20200301121</v>
      </c>
      <c r="E323" s="9">
        <v>0</v>
      </c>
      <c r="F323" s="9">
        <v>0</v>
      </c>
      <c r="G323" s="9">
        <f aca="true" t="shared" si="5" ref="G323:G386">E323+F323</f>
        <v>0</v>
      </c>
      <c r="H323" s="8" t="s">
        <v>10</v>
      </c>
    </row>
    <row r="324" spans="1:8" ht="22.5" customHeight="1">
      <c r="A324" s="8" t="s">
        <v>29</v>
      </c>
      <c r="B324" s="8" t="str">
        <f>"魏文豪"</f>
        <v>魏文豪</v>
      </c>
      <c r="C324" s="8" t="str">
        <f>"341126199503100417"</f>
        <v>341126199503100417</v>
      </c>
      <c r="D324" s="8" t="str">
        <f>"20200301122"</f>
        <v>20200301122</v>
      </c>
      <c r="E324" s="9">
        <v>44.8</v>
      </c>
      <c r="F324" s="9">
        <v>74.5</v>
      </c>
      <c r="G324" s="9">
        <f t="shared" si="5"/>
        <v>119.3</v>
      </c>
      <c r="H324" s="8"/>
    </row>
    <row r="325" spans="1:8" ht="22.5" customHeight="1">
      <c r="A325" s="8" t="s">
        <v>29</v>
      </c>
      <c r="B325" s="8" t="str">
        <f>"刘国涛"</f>
        <v>刘国涛</v>
      </c>
      <c r="C325" s="8" t="str">
        <f>"341182199708290251"</f>
        <v>341182199708290251</v>
      </c>
      <c r="D325" s="8" t="str">
        <f>"20200301123"</f>
        <v>20200301123</v>
      </c>
      <c r="E325" s="9">
        <v>0</v>
      </c>
      <c r="F325" s="9">
        <v>0</v>
      </c>
      <c r="G325" s="9">
        <f t="shared" si="5"/>
        <v>0</v>
      </c>
      <c r="H325" s="8" t="s">
        <v>10</v>
      </c>
    </row>
    <row r="326" spans="1:8" ht="22.5" customHeight="1">
      <c r="A326" s="8" t="s">
        <v>29</v>
      </c>
      <c r="B326" s="8" t="str">
        <f>"王寅威"</f>
        <v>王寅威</v>
      </c>
      <c r="C326" s="8" t="str">
        <f>"340123199803110019"</f>
        <v>340123199803110019</v>
      </c>
      <c r="D326" s="8" t="str">
        <f>"20200301124"</f>
        <v>20200301124</v>
      </c>
      <c r="E326" s="9">
        <v>0</v>
      </c>
      <c r="F326" s="9">
        <v>0</v>
      </c>
      <c r="G326" s="9">
        <f t="shared" si="5"/>
        <v>0</v>
      </c>
      <c r="H326" s="8" t="s">
        <v>10</v>
      </c>
    </row>
    <row r="327" spans="1:8" ht="22.5" customHeight="1">
      <c r="A327" s="8" t="s">
        <v>30</v>
      </c>
      <c r="B327" s="8" t="str">
        <f>"阚慧德"</f>
        <v>阚慧德</v>
      </c>
      <c r="C327" s="8" t="str">
        <f>"341127199712250012"</f>
        <v>341127199712250012</v>
      </c>
      <c r="D327" s="8" t="str">
        <f>"20200301125"</f>
        <v>20200301125</v>
      </c>
      <c r="E327" s="9">
        <v>69.7</v>
      </c>
      <c r="F327" s="9">
        <v>68.5</v>
      </c>
      <c r="G327" s="9">
        <f t="shared" si="5"/>
        <v>138.2</v>
      </c>
      <c r="H327" s="8"/>
    </row>
    <row r="328" spans="1:8" ht="22.5" customHeight="1">
      <c r="A328" s="8" t="s">
        <v>30</v>
      </c>
      <c r="B328" s="8" t="str">
        <f>"王一多"</f>
        <v>王一多</v>
      </c>
      <c r="C328" s="8" t="str">
        <f>"341102199411111011"</f>
        <v>341102199411111011</v>
      </c>
      <c r="D328" s="8" t="str">
        <f>"20200301127"</f>
        <v>20200301127</v>
      </c>
      <c r="E328" s="9">
        <v>50.2</v>
      </c>
      <c r="F328" s="9">
        <v>69</v>
      </c>
      <c r="G328" s="9">
        <f t="shared" si="5"/>
        <v>119.2</v>
      </c>
      <c r="H328" s="8"/>
    </row>
    <row r="329" spans="1:8" ht="22.5" customHeight="1">
      <c r="A329" s="8" t="s">
        <v>30</v>
      </c>
      <c r="B329" s="8" t="str">
        <f>"许倩"</f>
        <v>许倩</v>
      </c>
      <c r="C329" s="8" t="str">
        <f>"341125199612196503"</f>
        <v>341125199612196503</v>
      </c>
      <c r="D329" s="8" t="str">
        <f>"20200301126"</f>
        <v>20200301126</v>
      </c>
      <c r="E329" s="9">
        <v>0</v>
      </c>
      <c r="F329" s="9">
        <v>0</v>
      </c>
      <c r="G329" s="9">
        <f t="shared" si="5"/>
        <v>0</v>
      </c>
      <c r="H329" s="8" t="s">
        <v>10</v>
      </c>
    </row>
    <row r="330" spans="1:8" ht="22.5" customHeight="1">
      <c r="A330" s="8" t="s">
        <v>31</v>
      </c>
      <c r="B330" s="8" t="str">
        <f>"王杰"</f>
        <v>王杰</v>
      </c>
      <c r="C330" s="8" t="str">
        <f>"341182199502204610"</f>
        <v>341182199502204610</v>
      </c>
      <c r="D330" s="8" t="str">
        <f>"20200301204"</f>
        <v>20200301204</v>
      </c>
      <c r="E330" s="9">
        <v>65.1</v>
      </c>
      <c r="F330" s="9">
        <v>71.5</v>
      </c>
      <c r="G330" s="9">
        <f t="shared" si="5"/>
        <v>136.6</v>
      </c>
      <c r="H330" s="8"/>
    </row>
    <row r="331" spans="1:8" ht="22.5" customHeight="1">
      <c r="A331" s="8" t="s">
        <v>31</v>
      </c>
      <c r="B331" s="8" t="str">
        <f>"赵铭铭"</f>
        <v>赵铭铭</v>
      </c>
      <c r="C331" s="8" t="str">
        <f>"340402199707101045"</f>
        <v>340402199707101045</v>
      </c>
      <c r="D331" s="8" t="str">
        <f>"20200301206"</f>
        <v>20200301206</v>
      </c>
      <c r="E331" s="9">
        <v>60.2</v>
      </c>
      <c r="F331" s="9">
        <v>72</v>
      </c>
      <c r="G331" s="9">
        <f t="shared" si="5"/>
        <v>132.2</v>
      </c>
      <c r="H331" s="8"/>
    </row>
    <row r="332" spans="1:8" ht="22.5" customHeight="1">
      <c r="A332" s="8" t="s">
        <v>31</v>
      </c>
      <c r="B332" s="8" t="str">
        <f>"于兰兰"</f>
        <v>于兰兰</v>
      </c>
      <c r="C332" s="8" t="str">
        <f>"341182199207081822"</f>
        <v>341182199207081822</v>
      </c>
      <c r="D332" s="8" t="str">
        <f>"20200301201"</f>
        <v>20200301201</v>
      </c>
      <c r="E332" s="9">
        <v>57.8</v>
      </c>
      <c r="F332" s="9">
        <v>73</v>
      </c>
      <c r="G332" s="9">
        <f t="shared" si="5"/>
        <v>130.8</v>
      </c>
      <c r="H332" s="8"/>
    </row>
    <row r="333" spans="1:8" ht="22.5" customHeight="1">
      <c r="A333" s="8" t="s">
        <v>31</v>
      </c>
      <c r="B333" s="8" t="str">
        <f>"李阳"</f>
        <v>李阳</v>
      </c>
      <c r="C333" s="8" t="str">
        <f>"341126199210174930"</f>
        <v>341126199210174930</v>
      </c>
      <c r="D333" s="8" t="str">
        <f>"20200301210"</f>
        <v>20200301210</v>
      </c>
      <c r="E333" s="9">
        <v>63.3</v>
      </c>
      <c r="F333" s="9">
        <v>65</v>
      </c>
      <c r="G333" s="9">
        <f t="shared" si="5"/>
        <v>128.3</v>
      </c>
      <c r="H333" s="8"/>
    </row>
    <row r="334" spans="1:8" ht="22.5" customHeight="1">
      <c r="A334" s="8" t="s">
        <v>31</v>
      </c>
      <c r="B334" s="8" t="str">
        <f>"陆薇"</f>
        <v>陆薇</v>
      </c>
      <c r="C334" s="8" t="str">
        <f>"342623199705044029"</f>
        <v>342623199705044029</v>
      </c>
      <c r="D334" s="8" t="str">
        <f>"20200301203"</f>
        <v>20200301203</v>
      </c>
      <c r="E334" s="9">
        <v>49.1</v>
      </c>
      <c r="F334" s="9">
        <v>72</v>
      </c>
      <c r="G334" s="9">
        <f t="shared" si="5"/>
        <v>121.1</v>
      </c>
      <c r="H334" s="8"/>
    </row>
    <row r="335" spans="1:8" ht="22.5" customHeight="1">
      <c r="A335" s="8" t="s">
        <v>31</v>
      </c>
      <c r="B335" s="8" t="str">
        <f>"罗鹏程  "</f>
        <v>罗鹏程  </v>
      </c>
      <c r="C335" s="8" t="str">
        <f>"34240119931118189X"</f>
        <v>34240119931118189X</v>
      </c>
      <c r="D335" s="8" t="str">
        <f>"20200301128"</f>
        <v>20200301128</v>
      </c>
      <c r="E335" s="9">
        <v>51.7</v>
      </c>
      <c r="F335" s="9">
        <v>67.5</v>
      </c>
      <c r="G335" s="9">
        <f t="shared" si="5"/>
        <v>119.2</v>
      </c>
      <c r="H335" s="8"/>
    </row>
    <row r="336" spans="1:8" ht="22.5" customHeight="1">
      <c r="A336" s="8" t="s">
        <v>31</v>
      </c>
      <c r="B336" s="8" t="str">
        <f>"夏婷玉"</f>
        <v>夏婷玉</v>
      </c>
      <c r="C336" s="8" t="str">
        <f>"341182199112082224"</f>
        <v>341182199112082224</v>
      </c>
      <c r="D336" s="8" t="str">
        <f>"20200301129"</f>
        <v>20200301129</v>
      </c>
      <c r="E336" s="9">
        <v>43.6</v>
      </c>
      <c r="F336" s="9">
        <v>67.5</v>
      </c>
      <c r="G336" s="9">
        <f t="shared" si="5"/>
        <v>111.1</v>
      </c>
      <c r="H336" s="8"/>
    </row>
    <row r="337" spans="1:8" ht="22.5" customHeight="1">
      <c r="A337" s="8" t="s">
        <v>31</v>
      </c>
      <c r="B337" s="8" t="str">
        <f>"吴潼"</f>
        <v>吴潼</v>
      </c>
      <c r="C337" s="8" t="str">
        <f>"341182199402090011"</f>
        <v>341182199402090011</v>
      </c>
      <c r="D337" s="8" t="str">
        <f>"20200301209"</f>
        <v>20200301209</v>
      </c>
      <c r="E337" s="9">
        <v>41.4</v>
      </c>
      <c r="F337" s="9">
        <v>66.5</v>
      </c>
      <c r="G337" s="9">
        <f t="shared" si="5"/>
        <v>107.9</v>
      </c>
      <c r="H337" s="8"/>
    </row>
    <row r="338" spans="1:8" ht="22.5" customHeight="1">
      <c r="A338" s="8" t="s">
        <v>31</v>
      </c>
      <c r="B338" s="8" t="str">
        <f>"邵籽明"</f>
        <v>邵籽明</v>
      </c>
      <c r="C338" s="8" t="str">
        <f>"341102199708170813"</f>
        <v>341102199708170813</v>
      </c>
      <c r="D338" s="8" t="str">
        <f>"20200301202"</f>
        <v>20200301202</v>
      </c>
      <c r="E338" s="9">
        <v>39.1</v>
      </c>
      <c r="F338" s="9">
        <v>66</v>
      </c>
      <c r="G338" s="9">
        <f t="shared" si="5"/>
        <v>105.1</v>
      </c>
      <c r="H338" s="8"/>
    </row>
    <row r="339" spans="1:8" ht="22.5" customHeight="1">
      <c r="A339" s="8" t="s">
        <v>31</v>
      </c>
      <c r="B339" s="8" t="str">
        <f>"孙伟"</f>
        <v>孙伟</v>
      </c>
      <c r="C339" s="8" t="str">
        <f>"341182199111161211"</f>
        <v>341182199111161211</v>
      </c>
      <c r="D339" s="8" t="str">
        <f>"20200301207"</f>
        <v>20200301207</v>
      </c>
      <c r="E339" s="9">
        <v>33.6</v>
      </c>
      <c r="F339" s="9">
        <v>69</v>
      </c>
      <c r="G339" s="9">
        <f t="shared" si="5"/>
        <v>102.6</v>
      </c>
      <c r="H339" s="8"/>
    </row>
    <row r="340" spans="1:8" ht="22.5" customHeight="1">
      <c r="A340" s="8" t="s">
        <v>31</v>
      </c>
      <c r="B340" s="8" t="str">
        <f>"王蔚"</f>
        <v>王蔚</v>
      </c>
      <c r="C340" s="8" t="str">
        <f>"321321198801082262"</f>
        <v>321321198801082262</v>
      </c>
      <c r="D340" s="8" t="str">
        <f>"20200301130"</f>
        <v>20200301130</v>
      </c>
      <c r="E340" s="9">
        <v>0</v>
      </c>
      <c r="F340" s="9">
        <v>0</v>
      </c>
      <c r="G340" s="9">
        <f t="shared" si="5"/>
        <v>0</v>
      </c>
      <c r="H340" s="8" t="s">
        <v>10</v>
      </c>
    </row>
    <row r="341" spans="1:8" ht="22.5" customHeight="1">
      <c r="A341" s="8" t="s">
        <v>31</v>
      </c>
      <c r="B341" s="8" t="str">
        <f>"马丽丽"</f>
        <v>马丽丽</v>
      </c>
      <c r="C341" s="8" t="str">
        <f>"130984198702164547"</f>
        <v>130984198702164547</v>
      </c>
      <c r="D341" s="8" t="str">
        <f>"20200301205"</f>
        <v>20200301205</v>
      </c>
      <c r="E341" s="9">
        <v>0</v>
      </c>
      <c r="F341" s="9">
        <v>0</v>
      </c>
      <c r="G341" s="9">
        <f t="shared" si="5"/>
        <v>0</v>
      </c>
      <c r="H341" s="8" t="s">
        <v>10</v>
      </c>
    </row>
    <row r="342" spans="1:8" ht="22.5" customHeight="1">
      <c r="A342" s="8" t="s">
        <v>31</v>
      </c>
      <c r="B342" s="8" t="str">
        <f>"胡成"</f>
        <v>胡成</v>
      </c>
      <c r="C342" s="8" t="str">
        <f>"320311198906127312"</f>
        <v>320311198906127312</v>
      </c>
      <c r="D342" s="8" t="str">
        <f>"20200301208"</f>
        <v>20200301208</v>
      </c>
      <c r="E342" s="9">
        <v>0</v>
      </c>
      <c r="F342" s="9">
        <v>0</v>
      </c>
      <c r="G342" s="9">
        <f t="shared" si="5"/>
        <v>0</v>
      </c>
      <c r="H342" s="8" t="s">
        <v>10</v>
      </c>
    </row>
    <row r="343" spans="1:8" ht="22.5" customHeight="1">
      <c r="A343" s="8" t="s">
        <v>32</v>
      </c>
      <c r="B343" s="8" t="str">
        <f>"侯宇凡"</f>
        <v>侯宇凡</v>
      </c>
      <c r="C343" s="8" t="str">
        <f>"341182199512230011"</f>
        <v>341182199512230011</v>
      </c>
      <c r="D343" s="8" t="str">
        <f>"20200301218"</f>
        <v>20200301218</v>
      </c>
      <c r="E343" s="9">
        <v>63.7</v>
      </c>
      <c r="F343" s="9">
        <v>71</v>
      </c>
      <c r="G343" s="9">
        <f t="shared" si="5"/>
        <v>134.7</v>
      </c>
      <c r="H343" s="8"/>
    </row>
    <row r="344" spans="1:8" ht="22.5" customHeight="1">
      <c r="A344" s="8" t="s">
        <v>32</v>
      </c>
      <c r="B344" s="8" t="str">
        <f>"王虎"</f>
        <v>王虎</v>
      </c>
      <c r="C344" s="8" t="str">
        <f>"340122199804176910"</f>
        <v>340122199804176910</v>
      </c>
      <c r="D344" s="8" t="str">
        <f>"20200301212"</f>
        <v>20200301212</v>
      </c>
      <c r="E344" s="9">
        <v>61.7</v>
      </c>
      <c r="F344" s="9">
        <v>70</v>
      </c>
      <c r="G344" s="9">
        <f t="shared" si="5"/>
        <v>131.7</v>
      </c>
      <c r="H344" s="8"/>
    </row>
    <row r="345" spans="1:8" ht="22.5" customHeight="1">
      <c r="A345" s="8" t="s">
        <v>32</v>
      </c>
      <c r="B345" s="8" t="str">
        <f>"翁彩玉"</f>
        <v>翁彩玉</v>
      </c>
      <c r="C345" s="8" t="str">
        <f>"341181199702111025"</f>
        <v>341181199702111025</v>
      </c>
      <c r="D345" s="8" t="str">
        <f>"20200301214"</f>
        <v>20200301214</v>
      </c>
      <c r="E345" s="9">
        <v>51.3</v>
      </c>
      <c r="F345" s="9">
        <v>70.5</v>
      </c>
      <c r="G345" s="9">
        <f t="shared" si="5"/>
        <v>121.8</v>
      </c>
      <c r="H345" s="8"/>
    </row>
    <row r="346" spans="1:8" ht="22.5" customHeight="1">
      <c r="A346" s="8" t="s">
        <v>32</v>
      </c>
      <c r="B346" s="8" t="str">
        <f>"陈燕"</f>
        <v>陈燕</v>
      </c>
      <c r="C346" s="8" t="str">
        <f>"341126199806036344"</f>
        <v>341126199806036344</v>
      </c>
      <c r="D346" s="8" t="str">
        <f>"20200301213"</f>
        <v>20200301213</v>
      </c>
      <c r="E346" s="9">
        <v>44.1</v>
      </c>
      <c r="F346" s="9">
        <v>70.5</v>
      </c>
      <c r="G346" s="9">
        <f t="shared" si="5"/>
        <v>114.6</v>
      </c>
      <c r="H346" s="8"/>
    </row>
    <row r="347" spans="1:8" ht="22.5" customHeight="1">
      <c r="A347" s="8" t="s">
        <v>32</v>
      </c>
      <c r="B347" s="8" t="str">
        <f>"杨琪"</f>
        <v>杨琪</v>
      </c>
      <c r="C347" s="8" t="str">
        <f>"341181199803271060"</f>
        <v>341181199803271060</v>
      </c>
      <c r="D347" s="8" t="str">
        <f>"20200301215"</f>
        <v>20200301215</v>
      </c>
      <c r="E347" s="9">
        <v>42.5</v>
      </c>
      <c r="F347" s="9">
        <v>69</v>
      </c>
      <c r="G347" s="9">
        <f t="shared" si="5"/>
        <v>111.5</v>
      </c>
      <c r="H347" s="8"/>
    </row>
    <row r="348" spans="1:8" ht="22.5" customHeight="1">
      <c r="A348" s="8" t="s">
        <v>32</v>
      </c>
      <c r="B348" s="8" t="str">
        <f>"卢凯峰"</f>
        <v>卢凯峰</v>
      </c>
      <c r="C348" s="8" t="str">
        <f>"340321199811289336"</f>
        <v>340321199811289336</v>
      </c>
      <c r="D348" s="8" t="str">
        <f>"20200301211"</f>
        <v>20200301211</v>
      </c>
      <c r="E348" s="9">
        <v>41.5</v>
      </c>
      <c r="F348" s="9">
        <v>67</v>
      </c>
      <c r="G348" s="9">
        <f t="shared" si="5"/>
        <v>108.5</v>
      </c>
      <c r="H348" s="8"/>
    </row>
    <row r="349" spans="1:8" ht="22.5" customHeight="1">
      <c r="A349" s="8" t="s">
        <v>32</v>
      </c>
      <c r="B349" s="8" t="str">
        <f>"徐港归"</f>
        <v>徐港归</v>
      </c>
      <c r="C349" s="8" t="str">
        <f>"342529199707015013"</f>
        <v>342529199707015013</v>
      </c>
      <c r="D349" s="8" t="str">
        <f>"20200301216"</f>
        <v>20200301216</v>
      </c>
      <c r="E349" s="9">
        <v>0</v>
      </c>
      <c r="F349" s="9">
        <v>0</v>
      </c>
      <c r="G349" s="9">
        <f t="shared" si="5"/>
        <v>0</v>
      </c>
      <c r="H349" s="8" t="s">
        <v>10</v>
      </c>
    </row>
    <row r="350" spans="1:8" ht="22.5" customHeight="1">
      <c r="A350" s="8" t="s">
        <v>32</v>
      </c>
      <c r="B350" s="8" t="str">
        <f>"章梨勤"</f>
        <v>章梨勤</v>
      </c>
      <c r="C350" s="8" t="str">
        <f>"340823199810027043"</f>
        <v>340823199810027043</v>
      </c>
      <c r="D350" s="8" t="str">
        <f>"20200301217"</f>
        <v>20200301217</v>
      </c>
      <c r="E350" s="9">
        <v>0</v>
      </c>
      <c r="F350" s="9">
        <v>0</v>
      </c>
      <c r="G350" s="9">
        <f t="shared" si="5"/>
        <v>0</v>
      </c>
      <c r="H350" s="8" t="s">
        <v>10</v>
      </c>
    </row>
    <row r="351" spans="1:8" ht="22.5" customHeight="1">
      <c r="A351" s="8" t="s">
        <v>32</v>
      </c>
      <c r="B351" s="8" t="str">
        <f>"董昌月"</f>
        <v>董昌月</v>
      </c>
      <c r="C351" s="8" t="str">
        <f>"341181199706094023"</f>
        <v>341181199706094023</v>
      </c>
      <c r="D351" s="8" t="str">
        <f>"20200301219"</f>
        <v>20200301219</v>
      </c>
      <c r="E351" s="9">
        <v>0</v>
      </c>
      <c r="F351" s="9">
        <v>0</v>
      </c>
      <c r="G351" s="9">
        <f t="shared" si="5"/>
        <v>0</v>
      </c>
      <c r="H351" s="8" t="s">
        <v>10</v>
      </c>
    </row>
    <row r="352" spans="1:8" ht="22.5" customHeight="1">
      <c r="A352" s="8" t="s">
        <v>33</v>
      </c>
      <c r="B352" s="8" t="str">
        <f>"陶宇晴"</f>
        <v>陶宇晴</v>
      </c>
      <c r="C352" s="8" t="str">
        <f>"341182199812125029"</f>
        <v>341182199812125029</v>
      </c>
      <c r="D352" s="8" t="str">
        <f>"20200301227"</f>
        <v>20200301227</v>
      </c>
      <c r="E352" s="9">
        <v>52.2</v>
      </c>
      <c r="F352" s="9">
        <v>73</v>
      </c>
      <c r="G352" s="9">
        <f t="shared" si="5"/>
        <v>125.2</v>
      </c>
      <c r="H352" s="8"/>
    </row>
    <row r="353" spans="1:8" ht="22.5" customHeight="1">
      <c r="A353" s="8" t="s">
        <v>33</v>
      </c>
      <c r="B353" s="8" t="str">
        <f>"朱其丽"</f>
        <v>朱其丽</v>
      </c>
      <c r="C353" s="8" t="str">
        <f>"341127199710183629"</f>
        <v>341127199710183629</v>
      </c>
      <c r="D353" s="8" t="str">
        <f>"20200301221"</f>
        <v>20200301221</v>
      </c>
      <c r="E353" s="9">
        <v>53.3</v>
      </c>
      <c r="F353" s="9">
        <v>70</v>
      </c>
      <c r="G353" s="9">
        <f t="shared" si="5"/>
        <v>123.3</v>
      </c>
      <c r="H353" s="8"/>
    </row>
    <row r="354" spans="1:8" ht="22.5" customHeight="1">
      <c r="A354" s="8" t="s">
        <v>33</v>
      </c>
      <c r="B354" s="8" t="str">
        <f>"孙忠旺"</f>
        <v>孙忠旺</v>
      </c>
      <c r="C354" s="8" t="str">
        <f>"34118219980615021X"</f>
        <v>34118219980615021X</v>
      </c>
      <c r="D354" s="8" t="str">
        <f>"20200301220"</f>
        <v>20200301220</v>
      </c>
      <c r="E354" s="9">
        <v>45.1</v>
      </c>
      <c r="F354" s="9">
        <v>65.5</v>
      </c>
      <c r="G354" s="9">
        <f t="shared" si="5"/>
        <v>110.6</v>
      </c>
      <c r="H354" s="8"/>
    </row>
    <row r="355" spans="1:8" ht="22.5" customHeight="1">
      <c r="A355" s="8" t="s">
        <v>33</v>
      </c>
      <c r="B355" s="8" t="str">
        <f>"吴昊"</f>
        <v>吴昊</v>
      </c>
      <c r="C355" s="8" t="str">
        <f>"341182199805230031"</f>
        <v>341182199805230031</v>
      </c>
      <c r="D355" s="8" t="str">
        <f>"20200301222"</f>
        <v>20200301222</v>
      </c>
      <c r="E355" s="9">
        <v>35.5</v>
      </c>
      <c r="F355" s="9">
        <v>67</v>
      </c>
      <c r="G355" s="9">
        <f t="shared" si="5"/>
        <v>102.5</v>
      </c>
      <c r="H355" s="8"/>
    </row>
    <row r="356" spans="1:8" ht="22.5" customHeight="1">
      <c r="A356" s="8" t="s">
        <v>33</v>
      </c>
      <c r="B356" s="8" t="str">
        <f>"赵香宁"</f>
        <v>赵香宁</v>
      </c>
      <c r="C356" s="8" t="str">
        <f>"342422199806100029"</f>
        <v>342422199806100029</v>
      </c>
      <c r="D356" s="8" t="str">
        <f>"20200301223"</f>
        <v>20200301223</v>
      </c>
      <c r="E356" s="9">
        <v>0</v>
      </c>
      <c r="F356" s="9">
        <v>0</v>
      </c>
      <c r="G356" s="9">
        <f t="shared" si="5"/>
        <v>0</v>
      </c>
      <c r="H356" s="8" t="s">
        <v>10</v>
      </c>
    </row>
    <row r="357" spans="1:8" ht="22.5" customHeight="1">
      <c r="A357" s="8" t="s">
        <v>33</v>
      </c>
      <c r="B357" s="8" t="str">
        <f>"陈敏"</f>
        <v>陈敏</v>
      </c>
      <c r="C357" s="8" t="str">
        <f>"340827199807165221"</f>
        <v>340827199807165221</v>
      </c>
      <c r="D357" s="8" t="str">
        <f>"20200301224"</f>
        <v>20200301224</v>
      </c>
      <c r="E357" s="9">
        <v>0</v>
      </c>
      <c r="F357" s="9">
        <v>0</v>
      </c>
      <c r="G357" s="9">
        <f t="shared" si="5"/>
        <v>0</v>
      </c>
      <c r="H357" s="8" t="s">
        <v>10</v>
      </c>
    </row>
    <row r="358" spans="1:8" ht="22.5" customHeight="1">
      <c r="A358" s="8" t="s">
        <v>33</v>
      </c>
      <c r="B358" s="8" t="str">
        <f>"周孟杨"</f>
        <v>周孟杨</v>
      </c>
      <c r="C358" s="8" t="str">
        <f>"341182199701155823"</f>
        <v>341182199701155823</v>
      </c>
      <c r="D358" s="8" t="str">
        <f>"20200301225"</f>
        <v>20200301225</v>
      </c>
      <c r="E358" s="9">
        <v>0</v>
      </c>
      <c r="F358" s="9">
        <v>0</v>
      </c>
      <c r="G358" s="9">
        <f t="shared" si="5"/>
        <v>0</v>
      </c>
      <c r="H358" s="8" t="s">
        <v>10</v>
      </c>
    </row>
    <row r="359" spans="1:8" ht="22.5" customHeight="1">
      <c r="A359" s="8" t="s">
        <v>33</v>
      </c>
      <c r="B359" s="8" t="str">
        <f>"闫永喆"</f>
        <v>闫永喆</v>
      </c>
      <c r="C359" s="8" t="str">
        <f>"140603199411089972"</f>
        <v>140603199411089972</v>
      </c>
      <c r="D359" s="8" t="str">
        <f>"20200301226"</f>
        <v>20200301226</v>
      </c>
      <c r="E359" s="9">
        <v>0</v>
      </c>
      <c r="F359" s="9">
        <v>0</v>
      </c>
      <c r="G359" s="9">
        <f t="shared" si="5"/>
        <v>0</v>
      </c>
      <c r="H359" s="8" t="s">
        <v>10</v>
      </c>
    </row>
    <row r="360" spans="1:8" ht="22.5" customHeight="1">
      <c r="A360" s="8" t="s">
        <v>34</v>
      </c>
      <c r="B360" s="8" t="str">
        <f>"于达"</f>
        <v>于达</v>
      </c>
      <c r="C360" s="8" t="str">
        <f>"341127199412285416"</f>
        <v>341127199412285416</v>
      </c>
      <c r="D360" s="8" t="str">
        <f>"20200301228"</f>
        <v>20200301228</v>
      </c>
      <c r="E360" s="9">
        <v>71.9</v>
      </c>
      <c r="F360" s="9">
        <v>71.5</v>
      </c>
      <c r="G360" s="9">
        <f t="shared" si="5"/>
        <v>143.4</v>
      </c>
      <c r="H360" s="8"/>
    </row>
    <row r="361" spans="1:8" ht="22.5" customHeight="1">
      <c r="A361" s="8" t="s">
        <v>34</v>
      </c>
      <c r="B361" s="8" t="str">
        <f>"陈功"</f>
        <v>陈功</v>
      </c>
      <c r="C361" s="8" t="str">
        <f>"341126199505166516"</f>
        <v>341126199505166516</v>
      </c>
      <c r="D361" s="8" t="str">
        <f>"20200301230"</f>
        <v>20200301230</v>
      </c>
      <c r="E361" s="9">
        <v>66.4</v>
      </c>
      <c r="F361" s="9">
        <v>71.5</v>
      </c>
      <c r="G361" s="9">
        <f t="shared" si="5"/>
        <v>137.9</v>
      </c>
      <c r="H361" s="8"/>
    </row>
    <row r="362" spans="1:8" ht="22.5" customHeight="1">
      <c r="A362" s="8" t="s">
        <v>34</v>
      </c>
      <c r="B362" s="8" t="str">
        <f>"郭秋"</f>
        <v>郭秋</v>
      </c>
      <c r="C362" s="8" t="str">
        <f>"500226199004224663"</f>
        <v>500226199004224663</v>
      </c>
      <c r="D362" s="8" t="str">
        <f>"20200301229"</f>
        <v>20200301229</v>
      </c>
      <c r="E362" s="9">
        <v>55.4</v>
      </c>
      <c r="F362" s="9">
        <v>71.5</v>
      </c>
      <c r="G362" s="9">
        <f t="shared" si="5"/>
        <v>126.9</v>
      </c>
      <c r="H362" s="8"/>
    </row>
    <row r="363" spans="1:8" ht="22.5" customHeight="1">
      <c r="A363" s="8" t="s">
        <v>34</v>
      </c>
      <c r="B363" s="8" t="str">
        <f>"黄耀"</f>
        <v>黄耀</v>
      </c>
      <c r="C363" s="8" t="str">
        <f>"341126199308293217"</f>
        <v>341126199308293217</v>
      </c>
      <c r="D363" s="8" t="str">
        <f>"20200301301"</f>
        <v>20200301301</v>
      </c>
      <c r="E363" s="9">
        <v>57.2</v>
      </c>
      <c r="F363" s="9">
        <v>69</v>
      </c>
      <c r="G363" s="9">
        <f t="shared" si="5"/>
        <v>126.2</v>
      </c>
      <c r="H363" s="8"/>
    </row>
    <row r="364" spans="1:8" ht="22.5" customHeight="1">
      <c r="A364" s="8" t="s">
        <v>35</v>
      </c>
      <c r="B364" s="8" t="str">
        <f>"时杰"</f>
        <v>时杰</v>
      </c>
      <c r="C364" s="8" t="str">
        <f>"341124199010313817"</f>
        <v>341124199010313817</v>
      </c>
      <c r="D364" s="8" t="str">
        <f>"20200301307"</f>
        <v>20200301307</v>
      </c>
      <c r="E364" s="9">
        <v>67.7</v>
      </c>
      <c r="F364" s="9">
        <v>70</v>
      </c>
      <c r="G364" s="9">
        <f t="shared" si="5"/>
        <v>137.7</v>
      </c>
      <c r="H364" s="8"/>
    </row>
    <row r="365" spans="1:8" ht="22.5" customHeight="1">
      <c r="A365" s="8" t="s">
        <v>35</v>
      </c>
      <c r="B365" s="8" t="str">
        <f>"王健强"</f>
        <v>王健强</v>
      </c>
      <c r="C365" s="8" t="str">
        <f>"341182199512112015"</f>
        <v>341182199512112015</v>
      </c>
      <c r="D365" s="8" t="str">
        <f>"20200301310"</f>
        <v>20200301310</v>
      </c>
      <c r="E365" s="9">
        <v>64.6</v>
      </c>
      <c r="F365" s="9">
        <v>71.5</v>
      </c>
      <c r="G365" s="9">
        <f t="shared" si="5"/>
        <v>136.1</v>
      </c>
      <c r="H365" s="8"/>
    </row>
    <row r="366" spans="1:8" ht="22.5" customHeight="1">
      <c r="A366" s="8" t="s">
        <v>35</v>
      </c>
      <c r="B366" s="8" t="str">
        <f>"赵德伟"</f>
        <v>赵德伟</v>
      </c>
      <c r="C366" s="8" t="str">
        <f>"341127199312235438"</f>
        <v>341127199312235438</v>
      </c>
      <c r="D366" s="8" t="str">
        <f>"20200301303"</f>
        <v>20200301303</v>
      </c>
      <c r="E366" s="9">
        <v>62.5</v>
      </c>
      <c r="F366" s="9">
        <v>69</v>
      </c>
      <c r="G366" s="9">
        <f t="shared" si="5"/>
        <v>131.5</v>
      </c>
      <c r="H366" s="8"/>
    </row>
    <row r="367" spans="1:8" ht="22.5" customHeight="1">
      <c r="A367" s="8" t="s">
        <v>35</v>
      </c>
      <c r="B367" s="8" t="str">
        <f>"张兵"</f>
        <v>张兵</v>
      </c>
      <c r="C367" s="8" t="str">
        <f>"340322199304020056"</f>
        <v>340322199304020056</v>
      </c>
      <c r="D367" s="8" t="str">
        <f>"20200301305"</f>
        <v>20200301305</v>
      </c>
      <c r="E367" s="9">
        <v>62.5</v>
      </c>
      <c r="F367" s="9">
        <v>68</v>
      </c>
      <c r="G367" s="9">
        <f t="shared" si="5"/>
        <v>130.5</v>
      </c>
      <c r="H367" s="8"/>
    </row>
    <row r="368" spans="1:8" ht="22.5" customHeight="1">
      <c r="A368" s="8" t="s">
        <v>35</v>
      </c>
      <c r="B368" s="8" t="str">
        <f>"王帅"</f>
        <v>王帅</v>
      </c>
      <c r="C368" s="8" t="str">
        <f>"341182199607190614"</f>
        <v>341182199607190614</v>
      </c>
      <c r="D368" s="8" t="str">
        <f>"20200301311"</f>
        <v>20200301311</v>
      </c>
      <c r="E368" s="9">
        <v>50.9</v>
      </c>
      <c r="F368" s="9">
        <v>70</v>
      </c>
      <c r="G368" s="9">
        <f t="shared" si="5"/>
        <v>120.9</v>
      </c>
      <c r="H368" s="8"/>
    </row>
    <row r="369" spans="1:8" ht="22.5" customHeight="1">
      <c r="A369" s="8" t="s">
        <v>35</v>
      </c>
      <c r="B369" s="8" t="str">
        <f>"张浩"</f>
        <v>张浩</v>
      </c>
      <c r="C369" s="8" t="str">
        <f>"341182199402153211"</f>
        <v>341182199402153211</v>
      </c>
      <c r="D369" s="8" t="str">
        <f>"20200301304"</f>
        <v>20200301304</v>
      </c>
      <c r="E369" s="9">
        <v>42.6</v>
      </c>
      <c r="F369" s="9">
        <v>68</v>
      </c>
      <c r="G369" s="9">
        <f t="shared" si="5"/>
        <v>110.6</v>
      </c>
      <c r="H369" s="8"/>
    </row>
    <row r="370" spans="1:8" ht="22.5" customHeight="1">
      <c r="A370" s="8" t="s">
        <v>35</v>
      </c>
      <c r="B370" s="8" t="str">
        <f>"孙慧"</f>
        <v>孙慧</v>
      </c>
      <c r="C370" s="8" t="str">
        <f>"341182199405280427"</f>
        <v>341182199405280427</v>
      </c>
      <c r="D370" s="8" t="str">
        <f>"20200301308"</f>
        <v>20200301308</v>
      </c>
      <c r="E370" s="9">
        <v>38</v>
      </c>
      <c r="F370" s="9">
        <v>69</v>
      </c>
      <c r="G370" s="9">
        <f t="shared" si="5"/>
        <v>107</v>
      </c>
      <c r="H370" s="8"/>
    </row>
    <row r="371" spans="1:8" ht="22.5" customHeight="1">
      <c r="A371" s="8" t="s">
        <v>35</v>
      </c>
      <c r="B371" s="8" t="str">
        <f>"戚玉喆"</f>
        <v>戚玉喆</v>
      </c>
      <c r="C371" s="8" t="str">
        <f>"341182199612150019"</f>
        <v>341182199612150019</v>
      </c>
      <c r="D371" s="8" t="str">
        <f>"20200301302"</f>
        <v>20200301302</v>
      </c>
      <c r="E371" s="9">
        <v>34.3</v>
      </c>
      <c r="F371" s="9">
        <v>68.5</v>
      </c>
      <c r="G371" s="9">
        <f t="shared" si="5"/>
        <v>102.8</v>
      </c>
      <c r="H371" s="8"/>
    </row>
    <row r="372" spans="1:8" ht="22.5" customHeight="1">
      <c r="A372" s="8" t="s">
        <v>35</v>
      </c>
      <c r="B372" s="8" t="str">
        <f>"杨正威"</f>
        <v>杨正威</v>
      </c>
      <c r="C372" s="8" t="str">
        <f>"341182199204190214"</f>
        <v>341182199204190214</v>
      </c>
      <c r="D372" s="8" t="str">
        <f>"20200301309"</f>
        <v>20200301309</v>
      </c>
      <c r="E372" s="9">
        <v>33.7</v>
      </c>
      <c r="F372" s="9">
        <v>57.5</v>
      </c>
      <c r="G372" s="9">
        <f t="shared" si="5"/>
        <v>91.2</v>
      </c>
      <c r="H372" s="8"/>
    </row>
    <row r="373" spans="1:8" ht="22.5" customHeight="1">
      <c r="A373" s="8" t="s">
        <v>35</v>
      </c>
      <c r="B373" s="8" t="str">
        <f>"张庆化"</f>
        <v>张庆化</v>
      </c>
      <c r="C373" s="8" t="str">
        <f>"342422199401086353"</f>
        <v>342422199401086353</v>
      </c>
      <c r="D373" s="8" t="str">
        <f>"20200301306"</f>
        <v>20200301306</v>
      </c>
      <c r="E373" s="9">
        <v>19.1</v>
      </c>
      <c r="F373" s="9">
        <v>69</v>
      </c>
      <c r="G373" s="9">
        <f t="shared" si="5"/>
        <v>88.1</v>
      </c>
      <c r="H373" s="8"/>
    </row>
    <row r="374" spans="1:8" ht="22.5" customHeight="1">
      <c r="A374" s="8" t="s">
        <v>36</v>
      </c>
      <c r="B374" s="8" t="str">
        <f>"傅家磊"</f>
        <v>傅家磊</v>
      </c>
      <c r="C374" s="8" t="str">
        <f>"341182199210052010"</f>
        <v>341182199210052010</v>
      </c>
      <c r="D374" s="8" t="str">
        <f>"20200301315"</f>
        <v>20200301315</v>
      </c>
      <c r="E374" s="9">
        <v>70.2</v>
      </c>
      <c r="F374" s="9">
        <v>75</v>
      </c>
      <c r="G374" s="9">
        <f t="shared" si="5"/>
        <v>145.2</v>
      </c>
      <c r="H374" s="8"/>
    </row>
    <row r="375" spans="1:8" ht="22.5" customHeight="1">
      <c r="A375" s="8" t="s">
        <v>36</v>
      </c>
      <c r="B375" s="8" t="str">
        <f>"杨冬杰"</f>
        <v>杨冬杰</v>
      </c>
      <c r="C375" s="8" t="str">
        <f>"341127199602040030"</f>
        <v>341127199602040030</v>
      </c>
      <c r="D375" s="8" t="str">
        <f>"20200301312"</f>
        <v>20200301312</v>
      </c>
      <c r="E375" s="9">
        <v>58.9</v>
      </c>
      <c r="F375" s="9">
        <v>70</v>
      </c>
      <c r="G375" s="9">
        <f t="shared" si="5"/>
        <v>128.9</v>
      </c>
      <c r="H375" s="8"/>
    </row>
    <row r="376" spans="1:8" ht="22.5" customHeight="1">
      <c r="A376" s="8" t="s">
        <v>36</v>
      </c>
      <c r="B376" s="8" t="str">
        <f>"汪旭东"</f>
        <v>汪旭东</v>
      </c>
      <c r="C376" s="8" t="str">
        <f>"341182199305230035"</f>
        <v>341182199305230035</v>
      </c>
      <c r="D376" s="8" t="str">
        <f>"20200301314"</f>
        <v>20200301314</v>
      </c>
      <c r="E376" s="9">
        <v>65.3</v>
      </c>
      <c r="F376" s="9">
        <v>60</v>
      </c>
      <c r="G376" s="9">
        <f t="shared" si="5"/>
        <v>125.3</v>
      </c>
      <c r="H376" s="8"/>
    </row>
    <row r="377" spans="1:8" ht="22.5" customHeight="1">
      <c r="A377" s="8" t="s">
        <v>36</v>
      </c>
      <c r="B377" s="8" t="str">
        <f>"夏通"</f>
        <v>夏通</v>
      </c>
      <c r="C377" s="8" t="str">
        <f>"34118219950808041X"</f>
        <v>34118219950808041X</v>
      </c>
      <c r="D377" s="8" t="str">
        <f>"20200301313"</f>
        <v>20200301313</v>
      </c>
      <c r="E377" s="9">
        <v>42.6</v>
      </c>
      <c r="F377" s="9">
        <v>71.5</v>
      </c>
      <c r="G377" s="9">
        <f t="shared" si="5"/>
        <v>114.1</v>
      </c>
      <c r="H377" s="8"/>
    </row>
    <row r="378" spans="1:8" ht="22.5" customHeight="1">
      <c r="A378" s="8" t="s">
        <v>37</v>
      </c>
      <c r="B378" s="8" t="str">
        <f>"席砚"</f>
        <v>席砚</v>
      </c>
      <c r="C378" s="8" t="str">
        <f>"341125199703110023"</f>
        <v>341125199703110023</v>
      </c>
      <c r="D378" s="8" t="str">
        <f>"20200301322"</f>
        <v>20200301322</v>
      </c>
      <c r="E378" s="9">
        <v>66.3</v>
      </c>
      <c r="F378" s="9">
        <v>73</v>
      </c>
      <c r="G378" s="9">
        <f t="shared" si="5"/>
        <v>139.3</v>
      </c>
      <c r="H378" s="8"/>
    </row>
    <row r="379" spans="1:8" ht="22.5" customHeight="1">
      <c r="A379" s="8" t="s">
        <v>37</v>
      </c>
      <c r="B379" s="8" t="str">
        <f>"陈静怡"</f>
        <v>陈静怡</v>
      </c>
      <c r="C379" s="8" t="str">
        <f>"34118219971021002X"</f>
        <v>34118219971021002X</v>
      </c>
      <c r="D379" s="8" t="str">
        <f>"20200301316"</f>
        <v>20200301316</v>
      </c>
      <c r="E379" s="9">
        <v>67.3</v>
      </c>
      <c r="F379" s="9">
        <v>71</v>
      </c>
      <c r="G379" s="9">
        <f t="shared" si="5"/>
        <v>138.3</v>
      </c>
      <c r="H379" s="8"/>
    </row>
    <row r="380" spans="1:8" ht="22.5" customHeight="1">
      <c r="A380" s="8" t="s">
        <v>37</v>
      </c>
      <c r="B380" s="8" t="str">
        <f>"夏田宇"</f>
        <v>夏田宇</v>
      </c>
      <c r="C380" s="8" t="str">
        <f>"341182199609205023"</f>
        <v>341182199609205023</v>
      </c>
      <c r="D380" s="8" t="str">
        <f>"20200301323"</f>
        <v>20200301323</v>
      </c>
      <c r="E380" s="9">
        <v>67.4</v>
      </c>
      <c r="F380" s="9">
        <v>70.5</v>
      </c>
      <c r="G380" s="9">
        <f t="shared" si="5"/>
        <v>137.9</v>
      </c>
      <c r="H380" s="8"/>
    </row>
    <row r="381" spans="1:8" ht="22.5" customHeight="1">
      <c r="A381" s="8" t="s">
        <v>37</v>
      </c>
      <c r="B381" s="8" t="str">
        <f>"李雪梅"</f>
        <v>李雪梅</v>
      </c>
      <c r="C381" s="8" t="str">
        <f>"370481199604057740"</f>
        <v>370481199604057740</v>
      </c>
      <c r="D381" s="8" t="str">
        <f>"20200301321"</f>
        <v>20200301321</v>
      </c>
      <c r="E381" s="9">
        <v>66.6</v>
      </c>
      <c r="F381" s="9">
        <v>69.5</v>
      </c>
      <c r="G381" s="9">
        <f t="shared" si="5"/>
        <v>136.1</v>
      </c>
      <c r="H381" s="8"/>
    </row>
    <row r="382" spans="1:8" ht="22.5" customHeight="1">
      <c r="A382" s="8" t="s">
        <v>37</v>
      </c>
      <c r="B382" s="8" t="str">
        <f>"高星辰"</f>
        <v>高星辰</v>
      </c>
      <c r="C382" s="8" t="str">
        <f>"341182199506253014"</f>
        <v>341182199506253014</v>
      </c>
      <c r="D382" s="8" t="str">
        <f>"20200301318"</f>
        <v>20200301318</v>
      </c>
      <c r="E382" s="9">
        <v>62.7</v>
      </c>
      <c r="F382" s="9">
        <v>73</v>
      </c>
      <c r="G382" s="9">
        <f t="shared" si="5"/>
        <v>135.7</v>
      </c>
      <c r="H382" s="8"/>
    </row>
    <row r="383" spans="1:8" ht="22.5" customHeight="1">
      <c r="A383" s="8" t="s">
        <v>37</v>
      </c>
      <c r="B383" s="8" t="str">
        <f>"易俊廷"</f>
        <v>易俊廷</v>
      </c>
      <c r="C383" s="8" t="str">
        <f>"341122199811150015"</f>
        <v>341122199811150015</v>
      </c>
      <c r="D383" s="8" t="str">
        <f>"20200301324"</f>
        <v>20200301324</v>
      </c>
      <c r="E383" s="9">
        <v>58</v>
      </c>
      <c r="F383" s="9">
        <v>70.5</v>
      </c>
      <c r="G383" s="9">
        <f t="shared" si="5"/>
        <v>128.5</v>
      </c>
      <c r="H383" s="8"/>
    </row>
    <row r="384" spans="1:8" ht="22.5" customHeight="1">
      <c r="A384" s="8" t="s">
        <v>37</v>
      </c>
      <c r="B384" s="8" t="str">
        <f>"黄刘旭"</f>
        <v>黄刘旭</v>
      </c>
      <c r="C384" s="8" t="str">
        <f>"341182199806246019"</f>
        <v>341182199806246019</v>
      </c>
      <c r="D384" s="8" t="str">
        <f>"20200301320"</f>
        <v>20200301320</v>
      </c>
      <c r="E384" s="9">
        <v>55.2</v>
      </c>
      <c r="F384" s="9">
        <v>67.5</v>
      </c>
      <c r="G384" s="9">
        <f t="shared" si="5"/>
        <v>122.7</v>
      </c>
      <c r="H384" s="8"/>
    </row>
    <row r="385" spans="1:8" ht="22.5" customHeight="1">
      <c r="A385" s="8" t="s">
        <v>37</v>
      </c>
      <c r="B385" s="8" t="str">
        <f>"单天然"</f>
        <v>单天然</v>
      </c>
      <c r="C385" s="8" t="str">
        <f>"341125199903283447"</f>
        <v>341125199903283447</v>
      </c>
      <c r="D385" s="8" t="str">
        <f>"20200301317"</f>
        <v>20200301317</v>
      </c>
      <c r="E385" s="9">
        <v>49.8</v>
      </c>
      <c r="F385" s="9">
        <v>72.5</v>
      </c>
      <c r="G385" s="9">
        <f t="shared" si="5"/>
        <v>122.3</v>
      </c>
      <c r="H385" s="8"/>
    </row>
    <row r="386" spans="1:8" ht="22.5" customHeight="1">
      <c r="A386" s="8" t="s">
        <v>37</v>
      </c>
      <c r="B386" s="8" t="str">
        <f>"史青青"</f>
        <v>史青青</v>
      </c>
      <c r="C386" s="8" t="str">
        <f>"341182199610054621"</f>
        <v>341182199610054621</v>
      </c>
      <c r="D386" s="8" t="str">
        <f>"20200301319"</f>
        <v>20200301319</v>
      </c>
      <c r="E386" s="9">
        <v>44.7</v>
      </c>
      <c r="F386" s="9">
        <v>67.5</v>
      </c>
      <c r="G386" s="9">
        <f t="shared" si="5"/>
        <v>112.2</v>
      </c>
      <c r="H386" s="8"/>
    </row>
    <row r="387" spans="1:8" ht="22.5" customHeight="1">
      <c r="A387" s="8" t="s">
        <v>38</v>
      </c>
      <c r="B387" s="8" t="str">
        <f>"方庆远"</f>
        <v>方庆远</v>
      </c>
      <c r="C387" s="8" t="str">
        <f>"34118219960214001X"</f>
        <v>34118219960214001X</v>
      </c>
      <c r="D387" s="8" t="str">
        <f>"20200301326"</f>
        <v>20200301326</v>
      </c>
      <c r="E387" s="9">
        <v>63.2</v>
      </c>
      <c r="F387" s="9">
        <v>72.5</v>
      </c>
      <c r="G387" s="9">
        <f aca="true" t="shared" si="6" ref="G387:G450">E387+F387</f>
        <v>135.7</v>
      </c>
      <c r="H387" s="8"/>
    </row>
    <row r="388" spans="1:8" ht="22.5" customHeight="1">
      <c r="A388" s="8" t="s">
        <v>38</v>
      </c>
      <c r="B388" s="8" t="str">
        <f>"孙佳思"</f>
        <v>孙佳思</v>
      </c>
      <c r="C388" s="8" t="str">
        <f>"341182199705090035"</f>
        <v>341182199705090035</v>
      </c>
      <c r="D388" s="8" t="str">
        <f>"20200301325"</f>
        <v>20200301325</v>
      </c>
      <c r="E388" s="9">
        <v>49.9</v>
      </c>
      <c r="F388" s="9">
        <v>72</v>
      </c>
      <c r="G388" s="9">
        <f t="shared" si="6"/>
        <v>121.9</v>
      </c>
      <c r="H388" s="8"/>
    </row>
    <row r="389" spans="1:8" ht="22.5" customHeight="1">
      <c r="A389" s="8" t="s">
        <v>39</v>
      </c>
      <c r="B389" s="8" t="str">
        <f>"杨雨薇"</f>
        <v>杨雨薇</v>
      </c>
      <c r="C389" s="8" t="str">
        <f>"341182199712140029"</f>
        <v>341182199712140029</v>
      </c>
      <c r="D389" s="8" t="str">
        <f>"20200301330"</f>
        <v>20200301330</v>
      </c>
      <c r="E389" s="9">
        <v>58.7</v>
      </c>
      <c r="F389" s="9">
        <v>74</v>
      </c>
      <c r="G389" s="9">
        <f t="shared" si="6"/>
        <v>132.7</v>
      </c>
      <c r="H389" s="8"/>
    </row>
    <row r="390" spans="1:8" ht="22.5" customHeight="1">
      <c r="A390" s="8" t="s">
        <v>39</v>
      </c>
      <c r="B390" s="8" t="str">
        <f>"窦月"</f>
        <v>窦月</v>
      </c>
      <c r="C390" s="8" t="str">
        <f>"341182199608070024"</f>
        <v>341182199608070024</v>
      </c>
      <c r="D390" s="8" t="str">
        <f>"20200301401"</f>
        <v>20200301401</v>
      </c>
      <c r="E390" s="9">
        <v>56.3</v>
      </c>
      <c r="F390" s="9">
        <v>65</v>
      </c>
      <c r="G390" s="9">
        <f t="shared" si="6"/>
        <v>121.3</v>
      </c>
      <c r="H390" s="8"/>
    </row>
    <row r="391" spans="1:8" ht="22.5" customHeight="1">
      <c r="A391" s="8" t="s">
        <v>39</v>
      </c>
      <c r="B391" s="8" t="str">
        <f>"王梦晗"</f>
        <v>王梦晗</v>
      </c>
      <c r="C391" s="8" t="str">
        <f>"341182199706154627"</f>
        <v>341182199706154627</v>
      </c>
      <c r="D391" s="8" t="str">
        <f>"20200301328"</f>
        <v>20200301328</v>
      </c>
      <c r="E391" s="9">
        <v>48.8</v>
      </c>
      <c r="F391" s="9">
        <v>72</v>
      </c>
      <c r="G391" s="9">
        <f t="shared" si="6"/>
        <v>120.8</v>
      </c>
      <c r="H391" s="8"/>
    </row>
    <row r="392" spans="1:8" ht="22.5" customHeight="1">
      <c r="A392" s="8" t="s">
        <v>39</v>
      </c>
      <c r="B392" s="8" t="str">
        <f>"戚小慧"</f>
        <v>戚小慧</v>
      </c>
      <c r="C392" s="8" t="str">
        <f>"341127199701092020"</f>
        <v>341127199701092020</v>
      </c>
      <c r="D392" s="8" t="str">
        <f>"20200301327"</f>
        <v>20200301327</v>
      </c>
      <c r="E392" s="9">
        <v>47.3</v>
      </c>
      <c r="F392" s="9">
        <v>71</v>
      </c>
      <c r="G392" s="9">
        <f t="shared" si="6"/>
        <v>118.3</v>
      </c>
      <c r="H392" s="8"/>
    </row>
    <row r="393" spans="1:8" ht="22.5" customHeight="1">
      <c r="A393" s="8" t="s">
        <v>39</v>
      </c>
      <c r="B393" s="8" t="str">
        <f>"蒋梦雪"</f>
        <v>蒋梦雪</v>
      </c>
      <c r="C393" s="8" t="str">
        <f>"34118219970625242X"</f>
        <v>34118219970625242X</v>
      </c>
      <c r="D393" s="8" t="str">
        <f>"20200301329"</f>
        <v>20200301329</v>
      </c>
      <c r="E393" s="9">
        <v>44.1</v>
      </c>
      <c r="F393" s="9">
        <v>70</v>
      </c>
      <c r="G393" s="9">
        <f t="shared" si="6"/>
        <v>114.1</v>
      </c>
      <c r="H393" s="8"/>
    </row>
    <row r="394" spans="1:8" ht="22.5" customHeight="1">
      <c r="A394" s="8" t="s">
        <v>39</v>
      </c>
      <c r="B394" s="8" t="str">
        <f>"薛媂"</f>
        <v>薛媂</v>
      </c>
      <c r="C394" s="8" t="str">
        <f>"341182199709233849"</f>
        <v>341182199709233849</v>
      </c>
      <c r="D394" s="8" t="str">
        <f>"20200301402"</f>
        <v>20200301402</v>
      </c>
      <c r="E394" s="9">
        <v>49.3</v>
      </c>
      <c r="F394" s="9">
        <v>64</v>
      </c>
      <c r="G394" s="9">
        <f t="shared" si="6"/>
        <v>113.3</v>
      </c>
      <c r="H394" s="8"/>
    </row>
    <row r="395" spans="1:8" ht="22.5" customHeight="1">
      <c r="A395" s="8" t="s">
        <v>39</v>
      </c>
      <c r="B395" s="8" t="str">
        <f>"王磊"</f>
        <v>王磊</v>
      </c>
      <c r="C395" s="8" t="str">
        <f>"341182199807121015"</f>
        <v>341182199807121015</v>
      </c>
      <c r="D395" s="8" t="str">
        <f>"20200301403"</f>
        <v>20200301403</v>
      </c>
      <c r="E395" s="9">
        <v>0</v>
      </c>
      <c r="F395" s="9">
        <v>0</v>
      </c>
      <c r="G395" s="9">
        <f t="shared" si="6"/>
        <v>0</v>
      </c>
      <c r="H395" s="8" t="s">
        <v>10</v>
      </c>
    </row>
    <row r="396" spans="1:8" ht="22.5" customHeight="1">
      <c r="A396" s="8" t="s">
        <v>39</v>
      </c>
      <c r="B396" s="8" t="str">
        <f>"谢兆文"</f>
        <v>谢兆文</v>
      </c>
      <c r="C396" s="8" t="str">
        <f>"341122199906124012"</f>
        <v>341122199906124012</v>
      </c>
      <c r="D396" s="8" t="str">
        <f>"20200301404"</f>
        <v>20200301404</v>
      </c>
      <c r="E396" s="9">
        <v>0</v>
      </c>
      <c r="F396" s="9">
        <v>0</v>
      </c>
      <c r="G396" s="9">
        <f t="shared" si="6"/>
        <v>0</v>
      </c>
      <c r="H396" s="8" t="s">
        <v>10</v>
      </c>
    </row>
    <row r="397" spans="1:8" ht="22.5" customHeight="1">
      <c r="A397" s="8" t="s">
        <v>40</v>
      </c>
      <c r="B397" s="8" t="str">
        <f>"朱君"</f>
        <v>朱君</v>
      </c>
      <c r="C397" s="8" t="str">
        <f>"341182199512211611"</f>
        <v>341182199512211611</v>
      </c>
      <c r="D397" s="8" t="str">
        <f>"20200301410"</f>
        <v>20200301410</v>
      </c>
      <c r="E397" s="9">
        <v>66</v>
      </c>
      <c r="F397" s="9">
        <v>70.5</v>
      </c>
      <c r="G397" s="9">
        <f t="shared" si="6"/>
        <v>136.5</v>
      </c>
      <c r="H397" s="8"/>
    </row>
    <row r="398" spans="1:8" ht="22.5" customHeight="1">
      <c r="A398" s="8" t="s">
        <v>40</v>
      </c>
      <c r="B398" s="8" t="str">
        <f>"王勤"</f>
        <v>王勤</v>
      </c>
      <c r="C398" s="8" t="str">
        <f>"342401199711158867"</f>
        <v>342401199711158867</v>
      </c>
      <c r="D398" s="8" t="str">
        <f>"20200301405"</f>
        <v>20200301405</v>
      </c>
      <c r="E398" s="9">
        <v>65.1</v>
      </c>
      <c r="F398" s="9">
        <v>68.5</v>
      </c>
      <c r="G398" s="9">
        <f t="shared" si="6"/>
        <v>133.6</v>
      </c>
      <c r="H398" s="8"/>
    </row>
    <row r="399" spans="1:8" ht="22.5" customHeight="1">
      <c r="A399" s="8" t="s">
        <v>40</v>
      </c>
      <c r="B399" s="8" t="str">
        <f>"卞贝贝"</f>
        <v>卞贝贝</v>
      </c>
      <c r="C399" s="8" t="str">
        <f>"342423199109013129"</f>
        <v>342423199109013129</v>
      </c>
      <c r="D399" s="8" t="str">
        <f>"20200301411"</f>
        <v>20200301411</v>
      </c>
      <c r="E399" s="9">
        <v>50.2</v>
      </c>
      <c r="F399" s="9">
        <v>72</v>
      </c>
      <c r="G399" s="9">
        <f t="shared" si="6"/>
        <v>122.2</v>
      </c>
      <c r="H399" s="8"/>
    </row>
    <row r="400" spans="1:8" ht="22.5" customHeight="1">
      <c r="A400" s="8" t="s">
        <v>40</v>
      </c>
      <c r="B400" s="8" t="str">
        <f>"杨敏"</f>
        <v>杨敏</v>
      </c>
      <c r="C400" s="8" t="str">
        <f>"341126199603023826"</f>
        <v>341126199603023826</v>
      </c>
      <c r="D400" s="8" t="str">
        <f>"20200301406"</f>
        <v>20200301406</v>
      </c>
      <c r="E400" s="9">
        <v>46.5</v>
      </c>
      <c r="F400" s="9">
        <v>73.5</v>
      </c>
      <c r="G400" s="9">
        <f t="shared" si="6"/>
        <v>120</v>
      </c>
      <c r="H400" s="8"/>
    </row>
    <row r="401" spans="1:8" ht="22.5" customHeight="1">
      <c r="A401" s="8" t="s">
        <v>40</v>
      </c>
      <c r="B401" s="8" t="str">
        <f>"陈实"</f>
        <v>陈实</v>
      </c>
      <c r="C401" s="8" t="str">
        <f>"340321199701110155"</f>
        <v>340321199701110155</v>
      </c>
      <c r="D401" s="8" t="str">
        <f>"20200301407"</f>
        <v>20200301407</v>
      </c>
      <c r="E401" s="9">
        <v>53.3</v>
      </c>
      <c r="F401" s="9">
        <v>61.5</v>
      </c>
      <c r="G401" s="9">
        <f t="shared" si="6"/>
        <v>114.8</v>
      </c>
      <c r="H401" s="8"/>
    </row>
    <row r="402" spans="1:8" ht="22.5" customHeight="1">
      <c r="A402" s="8" t="s">
        <v>40</v>
      </c>
      <c r="B402" s="8" t="str">
        <f>"张忠松"</f>
        <v>张忠松</v>
      </c>
      <c r="C402" s="8" t="str">
        <f>"340123199611101919"</f>
        <v>340123199611101919</v>
      </c>
      <c r="D402" s="8" t="str">
        <f>"20200301408"</f>
        <v>20200301408</v>
      </c>
      <c r="E402" s="9">
        <v>0</v>
      </c>
      <c r="F402" s="9">
        <v>0</v>
      </c>
      <c r="G402" s="9">
        <f t="shared" si="6"/>
        <v>0</v>
      </c>
      <c r="H402" s="8" t="s">
        <v>10</v>
      </c>
    </row>
    <row r="403" spans="1:8" ht="22.5" customHeight="1">
      <c r="A403" s="8" t="s">
        <v>40</v>
      </c>
      <c r="B403" s="8" t="str">
        <f>"李名扬"</f>
        <v>李名扬</v>
      </c>
      <c r="C403" s="8" t="str">
        <f>"341227199510130018"</f>
        <v>341227199510130018</v>
      </c>
      <c r="D403" s="8" t="str">
        <f>"20200301409"</f>
        <v>20200301409</v>
      </c>
      <c r="E403" s="9">
        <v>0</v>
      </c>
      <c r="F403" s="9">
        <v>0</v>
      </c>
      <c r="G403" s="9">
        <f t="shared" si="6"/>
        <v>0</v>
      </c>
      <c r="H403" s="8" t="s">
        <v>10</v>
      </c>
    </row>
    <row r="404" spans="1:8" ht="22.5" customHeight="1">
      <c r="A404" s="8" t="s">
        <v>41</v>
      </c>
      <c r="B404" s="8" t="str">
        <f>"邬承鹏"</f>
        <v>邬承鹏</v>
      </c>
      <c r="C404" s="8" t="str">
        <f>"341122199011232610"</f>
        <v>341122199011232610</v>
      </c>
      <c r="D404" s="8" t="str">
        <f>"20200301423"</f>
        <v>20200301423</v>
      </c>
      <c r="E404" s="9">
        <v>73</v>
      </c>
      <c r="F404" s="9">
        <v>70</v>
      </c>
      <c r="G404" s="9">
        <f t="shared" si="6"/>
        <v>143</v>
      </c>
      <c r="H404" s="8"/>
    </row>
    <row r="405" spans="1:8" ht="22.5" customHeight="1">
      <c r="A405" s="8" t="s">
        <v>41</v>
      </c>
      <c r="B405" s="8" t="str">
        <f>"陈晓羽"</f>
        <v>陈晓羽</v>
      </c>
      <c r="C405" s="8" t="str">
        <f>"34112619950531024X"</f>
        <v>34112619950531024X</v>
      </c>
      <c r="D405" s="8" t="str">
        <f>"20200301417"</f>
        <v>20200301417</v>
      </c>
      <c r="E405" s="9">
        <v>65.2</v>
      </c>
      <c r="F405" s="9">
        <v>77</v>
      </c>
      <c r="G405" s="9">
        <f t="shared" si="6"/>
        <v>142.2</v>
      </c>
      <c r="H405" s="8"/>
    </row>
    <row r="406" spans="1:8" ht="22.5" customHeight="1">
      <c r="A406" s="8" t="s">
        <v>41</v>
      </c>
      <c r="B406" s="8" t="str">
        <f>"何永乐"</f>
        <v>何永乐</v>
      </c>
      <c r="C406" s="8" t="str">
        <f>"34031119910325181X"</f>
        <v>34031119910325181X</v>
      </c>
      <c r="D406" s="8" t="str">
        <f>"20200301415"</f>
        <v>20200301415</v>
      </c>
      <c r="E406" s="9">
        <v>71.4</v>
      </c>
      <c r="F406" s="9">
        <v>69</v>
      </c>
      <c r="G406" s="9">
        <f t="shared" si="6"/>
        <v>140.4</v>
      </c>
      <c r="H406" s="8"/>
    </row>
    <row r="407" spans="1:8" ht="22.5" customHeight="1">
      <c r="A407" s="8" t="s">
        <v>41</v>
      </c>
      <c r="B407" s="8" t="str">
        <f>"柏金叶"</f>
        <v>柏金叶</v>
      </c>
      <c r="C407" s="8" t="str">
        <f>"341182199403133829"</f>
        <v>341182199403133829</v>
      </c>
      <c r="D407" s="8" t="str">
        <f>"20200301414"</f>
        <v>20200301414</v>
      </c>
      <c r="E407" s="9">
        <v>67.4</v>
      </c>
      <c r="F407" s="9">
        <v>72.5</v>
      </c>
      <c r="G407" s="9">
        <f t="shared" si="6"/>
        <v>139.9</v>
      </c>
      <c r="H407" s="8"/>
    </row>
    <row r="408" spans="1:8" ht="22.5" customHeight="1">
      <c r="A408" s="8" t="s">
        <v>41</v>
      </c>
      <c r="B408" s="8" t="str">
        <f>"张小雨"</f>
        <v>张小雨</v>
      </c>
      <c r="C408" s="8" t="str">
        <f>"341182199303013029"</f>
        <v>341182199303013029</v>
      </c>
      <c r="D408" s="8" t="str">
        <f>"20200301416"</f>
        <v>20200301416</v>
      </c>
      <c r="E408" s="9">
        <v>64.8</v>
      </c>
      <c r="F408" s="9">
        <v>72.5</v>
      </c>
      <c r="G408" s="9">
        <f t="shared" si="6"/>
        <v>137.3</v>
      </c>
      <c r="H408" s="8"/>
    </row>
    <row r="409" spans="1:8" ht="22.5" customHeight="1">
      <c r="A409" s="8" t="s">
        <v>41</v>
      </c>
      <c r="B409" s="8" t="str">
        <f>"顾莉"</f>
        <v>顾莉</v>
      </c>
      <c r="C409" s="8" t="str">
        <f>"320981199103293727"</f>
        <v>320981199103293727</v>
      </c>
      <c r="D409" s="8" t="str">
        <f>"20200301418"</f>
        <v>20200301418</v>
      </c>
      <c r="E409" s="9">
        <v>63.7</v>
      </c>
      <c r="F409" s="9">
        <v>72.5</v>
      </c>
      <c r="G409" s="9">
        <f t="shared" si="6"/>
        <v>136.2</v>
      </c>
      <c r="H409" s="8"/>
    </row>
    <row r="410" spans="1:8" ht="22.5" customHeight="1">
      <c r="A410" s="8" t="s">
        <v>41</v>
      </c>
      <c r="B410" s="8" t="str">
        <f>"王欢"</f>
        <v>王欢</v>
      </c>
      <c r="C410" s="8" t="str">
        <f>"341182199011042610"</f>
        <v>341182199011042610</v>
      </c>
      <c r="D410" s="8" t="str">
        <f>"20200301424"</f>
        <v>20200301424</v>
      </c>
      <c r="E410" s="9">
        <v>62.4</v>
      </c>
      <c r="F410" s="9">
        <v>70.5</v>
      </c>
      <c r="G410" s="9">
        <f t="shared" si="6"/>
        <v>132.9</v>
      </c>
      <c r="H410" s="8"/>
    </row>
    <row r="411" spans="1:8" ht="22.5" customHeight="1">
      <c r="A411" s="8" t="s">
        <v>41</v>
      </c>
      <c r="B411" s="8" t="str">
        <f>"储冰"</f>
        <v>储冰</v>
      </c>
      <c r="C411" s="8" t="str">
        <f>"34082819940730011X"</f>
        <v>34082819940730011X</v>
      </c>
      <c r="D411" s="8" t="str">
        <f>"20200301422"</f>
        <v>20200301422</v>
      </c>
      <c r="E411" s="9">
        <v>60</v>
      </c>
      <c r="F411" s="9">
        <v>72</v>
      </c>
      <c r="G411" s="9">
        <f t="shared" si="6"/>
        <v>132</v>
      </c>
      <c r="H411" s="8"/>
    </row>
    <row r="412" spans="1:8" ht="22.5" customHeight="1">
      <c r="A412" s="8" t="s">
        <v>41</v>
      </c>
      <c r="B412" s="8" t="str">
        <f>"武蓓蓓"</f>
        <v>武蓓蓓</v>
      </c>
      <c r="C412" s="8" t="str">
        <f>"341182199312105427"</f>
        <v>341182199312105427</v>
      </c>
      <c r="D412" s="8" t="str">
        <f>"20200301420"</f>
        <v>20200301420</v>
      </c>
      <c r="E412" s="9">
        <v>54.4</v>
      </c>
      <c r="F412" s="9">
        <v>75</v>
      </c>
      <c r="G412" s="9">
        <f t="shared" si="6"/>
        <v>129.4</v>
      </c>
      <c r="H412" s="8"/>
    </row>
    <row r="413" spans="1:8" ht="22.5" customHeight="1">
      <c r="A413" s="8" t="s">
        <v>41</v>
      </c>
      <c r="B413" s="8" t="str">
        <f>"王硕"</f>
        <v>王硕</v>
      </c>
      <c r="C413" s="8" t="str">
        <f>"341126199610285613"</f>
        <v>341126199610285613</v>
      </c>
      <c r="D413" s="8" t="str">
        <f>"20200301421"</f>
        <v>20200301421</v>
      </c>
      <c r="E413" s="9">
        <v>54.1</v>
      </c>
      <c r="F413" s="9">
        <v>72</v>
      </c>
      <c r="G413" s="9">
        <f t="shared" si="6"/>
        <v>126.1</v>
      </c>
      <c r="H413" s="8"/>
    </row>
    <row r="414" spans="1:8" ht="22.5" customHeight="1">
      <c r="A414" s="8" t="s">
        <v>41</v>
      </c>
      <c r="B414" s="8" t="str">
        <f>"陈翔宇"</f>
        <v>陈翔宇</v>
      </c>
      <c r="C414" s="8" t="str">
        <f>"341102199204250414"</f>
        <v>341102199204250414</v>
      </c>
      <c r="D414" s="8" t="str">
        <f>"20200301412"</f>
        <v>20200301412</v>
      </c>
      <c r="E414" s="9">
        <v>55.6</v>
      </c>
      <c r="F414" s="9">
        <v>69.5</v>
      </c>
      <c r="G414" s="9">
        <f t="shared" si="6"/>
        <v>125.1</v>
      </c>
      <c r="H414" s="8"/>
    </row>
    <row r="415" spans="1:8" ht="22.5" customHeight="1">
      <c r="A415" s="8" t="s">
        <v>41</v>
      </c>
      <c r="B415" s="8" t="str">
        <f>"刘珊珊"</f>
        <v>刘珊珊</v>
      </c>
      <c r="C415" s="8" t="str">
        <f>"341182199204221025"</f>
        <v>341182199204221025</v>
      </c>
      <c r="D415" s="8" t="str">
        <f>"20200301419"</f>
        <v>20200301419</v>
      </c>
      <c r="E415" s="9">
        <v>53</v>
      </c>
      <c r="F415" s="9">
        <v>67.5</v>
      </c>
      <c r="G415" s="9">
        <f t="shared" si="6"/>
        <v>120.5</v>
      </c>
      <c r="H415" s="8"/>
    </row>
    <row r="416" spans="1:8" ht="22.5" customHeight="1">
      <c r="A416" s="8" t="s">
        <v>41</v>
      </c>
      <c r="B416" s="8" t="str">
        <f>"尹本凯"</f>
        <v>尹本凯</v>
      </c>
      <c r="C416" s="8" t="str">
        <f>"341126199306180016"</f>
        <v>341126199306180016</v>
      </c>
      <c r="D416" s="8" t="str">
        <f>"20200301413"</f>
        <v>20200301413</v>
      </c>
      <c r="E416" s="9">
        <v>43.8</v>
      </c>
      <c r="F416" s="9">
        <v>61</v>
      </c>
      <c r="G416" s="9">
        <f t="shared" si="6"/>
        <v>104.8</v>
      </c>
      <c r="H416" s="8"/>
    </row>
    <row r="417" spans="1:8" ht="22.5" customHeight="1">
      <c r="A417" s="8" t="s">
        <v>42</v>
      </c>
      <c r="B417" s="8" t="str">
        <f>"蒋明静"</f>
        <v>蒋明静</v>
      </c>
      <c r="C417" s="8" t="str">
        <f>"341182199712014428"</f>
        <v>341182199712014428</v>
      </c>
      <c r="D417" s="8" t="str">
        <f>"20200301430"</f>
        <v>20200301430</v>
      </c>
      <c r="E417" s="9">
        <v>64.2</v>
      </c>
      <c r="F417" s="9">
        <v>77.5</v>
      </c>
      <c r="G417" s="9">
        <f t="shared" si="6"/>
        <v>141.7</v>
      </c>
      <c r="H417" s="8"/>
    </row>
    <row r="418" spans="1:8" ht="22.5" customHeight="1">
      <c r="A418" s="8" t="s">
        <v>42</v>
      </c>
      <c r="B418" s="8" t="str">
        <f>"冯会珊"</f>
        <v>冯会珊</v>
      </c>
      <c r="C418" s="8" t="str">
        <f>"341126199808216728"</f>
        <v>341126199808216728</v>
      </c>
      <c r="D418" s="8" t="str">
        <f>"20200301501"</f>
        <v>20200301501</v>
      </c>
      <c r="E418" s="9">
        <v>61.3</v>
      </c>
      <c r="F418" s="9">
        <v>72</v>
      </c>
      <c r="G418" s="9">
        <f t="shared" si="6"/>
        <v>133.3</v>
      </c>
      <c r="H418" s="8"/>
    </row>
    <row r="419" spans="1:8" ht="22.5" customHeight="1">
      <c r="A419" s="8" t="s">
        <v>42</v>
      </c>
      <c r="B419" s="8" t="str">
        <f>"冉启红"</f>
        <v>冉启红</v>
      </c>
      <c r="C419" s="8" t="str">
        <f>"620422199503186027"</f>
        <v>620422199503186027</v>
      </c>
      <c r="D419" s="8" t="str">
        <f>"20200301427"</f>
        <v>20200301427</v>
      </c>
      <c r="E419" s="9">
        <v>61.5</v>
      </c>
      <c r="F419" s="9">
        <v>70.5</v>
      </c>
      <c r="G419" s="9">
        <f t="shared" si="6"/>
        <v>132</v>
      </c>
      <c r="H419" s="8"/>
    </row>
    <row r="420" spans="1:8" ht="22.5" customHeight="1">
      <c r="A420" s="8" t="s">
        <v>42</v>
      </c>
      <c r="B420" s="8" t="str">
        <f>"曹雪"</f>
        <v>曹雪</v>
      </c>
      <c r="C420" s="8" t="str">
        <f>"341182199710150047"</f>
        <v>341182199710150047</v>
      </c>
      <c r="D420" s="8" t="str">
        <f>"20200301425"</f>
        <v>20200301425</v>
      </c>
      <c r="E420" s="9">
        <v>54.7</v>
      </c>
      <c r="F420" s="9">
        <v>72</v>
      </c>
      <c r="G420" s="9">
        <f t="shared" si="6"/>
        <v>126.7</v>
      </c>
      <c r="H420" s="8"/>
    </row>
    <row r="421" spans="1:8" ht="22.5" customHeight="1">
      <c r="A421" s="8" t="s">
        <v>42</v>
      </c>
      <c r="B421" s="8" t="str">
        <f>"王阑"</f>
        <v>王阑</v>
      </c>
      <c r="C421" s="8" t="str">
        <f>"341182199805080467"</f>
        <v>341182199805080467</v>
      </c>
      <c r="D421" s="8" t="str">
        <f>"20200301429"</f>
        <v>20200301429</v>
      </c>
      <c r="E421" s="9">
        <v>60.7</v>
      </c>
      <c r="F421" s="9">
        <v>64.5</v>
      </c>
      <c r="G421" s="9">
        <f t="shared" si="6"/>
        <v>125.2</v>
      </c>
      <c r="H421" s="8"/>
    </row>
    <row r="422" spans="1:8" ht="22.5" customHeight="1">
      <c r="A422" s="8" t="s">
        <v>42</v>
      </c>
      <c r="B422" s="8" t="str">
        <f>"张国香"</f>
        <v>张国香</v>
      </c>
      <c r="C422" s="8" t="str">
        <f>"341182199601230427"</f>
        <v>341182199601230427</v>
      </c>
      <c r="D422" s="8" t="str">
        <f>"20200301428"</f>
        <v>20200301428</v>
      </c>
      <c r="E422" s="9">
        <v>45.7</v>
      </c>
      <c r="F422" s="9">
        <v>74.5</v>
      </c>
      <c r="G422" s="9">
        <f t="shared" si="6"/>
        <v>120.2</v>
      </c>
      <c r="H422" s="8"/>
    </row>
    <row r="423" spans="1:8" ht="22.5" customHeight="1">
      <c r="A423" s="8" t="s">
        <v>42</v>
      </c>
      <c r="B423" s="8" t="str">
        <f>"潘颖"</f>
        <v>潘颖</v>
      </c>
      <c r="C423" s="8" t="str">
        <f>"341182199603132628"</f>
        <v>341182199603132628</v>
      </c>
      <c r="D423" s="8" t="str">
        <f>"20200301426"</f>
        <v>20200301426</v>
      </c>
      <c r="E423" s="9">
        <v>44.6</v>
      </c>
      <c r="F423" s="9">
        <v>73.5</v>
      </c>
      <c r="G423" s="9">
        <f t="shared" si="6"/>
        <v>118.1</v>
      </c>
      <c r="H423" s="8"/>
    </row>
    <row r="424" spans="1:8" ht="22.5" customHeight="1">
      <c r="A424" s="8" t="s">
        <v>42</v>
      </c>
      <c r="B424" s="8" t="str">
        <f>"刘淼"</f>
        <v>刘淼</v>
      </c>
      <c r="C424" s="8" t="str">
        <f>"34162119960530001X"</f>
        <v>34162119960530001X</v>
      </c>
      <c r="D424" s="8" t="str">
        <f>"20200301502"</f>
        <v>20200301502</v>
      </c>
      <c r="E424" s="9">
        <v>0</v>
      </c>
      <c r="F424" s="9">
        <v>0</v>
      </c>
      <c r="G424" s="9">
        <f t="shared" si="6"/>
        <v>0</v>
      </c>
      <c r="H424" s="8" t="s">
        <v>10</v>
      </c>
    </row>
    <row r="425" spans="1:8" ht="22.5" customHeight="1">
      <c r="A425" s="8" t="s">
        <v>43</v>
      </c>
      <c r="B425" s="8" t="str">
        <f>"孙雨"</f>
        <v>孙雨</v>
      </c>
      <c r="C425" s="8" t="str">
        <f>"341182199307070020"</f>
        <v>341182199307070020</v>
      </c>
      <c r="D425" s="8" t="str">
        <f>"20200301602"</f>
        <v>20200301602</v>
      </c>
      <c r="E425" s="9">
        <v>69.6</v>
      </c>
      <c r="F425" s="9">
        <v>72.5</v>
      </c>
      <c r="G425" s="9">
        <f t="shared" si="6"/>
        <v>142.1</v>
      </c>
      <c r="H425" s="8"/>
    </row>
    <row r="426" spans="1:8" ht="22.5" customHeight="1">
      <c r="A426" s="8" t="s">
        <v>43</v>
      </c>
      <c r="B426" s="8" t="str">
        <f>"张璐"</f>
        <v>张璐</v>
      </c>
      <c r="C426" s="8" t="str">
        <f>"34118219950713042X"</f>
        <v>34118219950713042X</v>
      </c>
      <c r="D426" s="8" t="str">
        <f>"20200301505"</f>
        <v>20200301505</v>
      </c>
      <c r="E426" s="9">
        <v>67</v>
      </c>
      <c r="F426" s="9">
        <v>75</v>
      </c>
      <c r="G426" s="9">
        <f t="shared" si="6"/>
        <v>142</v>
      </c>
      <c r="H426" s="8"/>
    </row>
    <row r="427" spans="1:8" ht="22.5" customHeight="1">
      <c r="A427" s="8" t="s">
        <v>43</v>
      </c>
      <c r="B427" s="8" t="str">
        <f>"薛昕茹"</f>
        <v>薛昕茹</v>
      </c>
      <c r="C427" s="8" t="str">
        <f>"341182199412240423"</f>
        <v>341182199412240423</v>
      </c>
      <c r="D427" s="8" t="str">
        <f>"20200301624"</f>
        <v>20200301624</v>
      </c>
      <c r="E427" s="9">
        <v>68.8</v>
      </c>
      <c r="F427" s="9">
        <v>71.5</v>
      </c>
      <c r="G427" s="9">
        <f t="shared" si="6"/>
        <v>140.3</v>
      </c>
      <c r="H427" s="8"/>
    </row>
    <row r="428" spans="1:8" ht="22.5" customHeight="1">
      <c r="A428" s="8" t="s">
        <v>43</v>
      </c>
      <c r="B428" s="8" t="str">
        <f>"汤霜"</f>
        <v>汤霜</v>
      </c>
      <c r="C428" s="8" t="str">
        <f>"341182199612263064"</f>
        <v>341182199612263064</v>
      </c>
      <c r="D428" s="8" t="str">
        <f>"20200301515"</f>
        <v>20200301515</v>
      </c>
      <c r="E428" s="9">
        <v>65.6</v>
      </c>
      <c r="F428" s="9">
        <v>74.5</v>
      </c>
      <c r="G428" s="9">
        <f t="shared" si="6"/>
        <v>140.1</v>
      </c>
      <c r="H428" s="8"/>
    </row>
    <row r="429" spans="1:8" ht="22.5" customHeight="1">
      <c r="A429" s="8" t="s">
        <v>43</v>
      </c>
      <c r="B429" s="8" t="str">
        <f>"林明"</f>
        <v>林明</v>
      </c>
      <c r="C429" s="8" t="str">
        <f>"342623199608287715"</f>
        <v>342623199608287715</v>
      </c>
      <c r="D429" s="8" t="str">
        <f>"20200301521"</f>
        <v>20200301521</v>
      </c>
      <c r="E429" s="9">
        <v>71.1</v>
      </c>
      <c r="F429" s="9">
        <v>69</v>
      </c>
      <c r="G429" s="9">
        <f t="shared" si="6"/>
        <v>140.1</v>
      </c>
      <c r="H429" s="8"/>
    </row>
    <row r="430" spans="1:8" ht="22.5" customHeight="1">
      <c r="A430" s="8" t="s">
        <v>43</v>
      </c>
      <c r="B430" s="8" t="str">
        <f>"姚冬冬"</f>
        <v>姚冬冬</v>
      </c>
      <c r="C430" s="8" t="str">
        <f>"341182199112061618"</f>
        <v>341182199112061618</v>
      </c>
      <c r="D430" s="8" t="str">
        <f>"20200301507"</f>
        <v>20200301507</v>
      </c>
      <c r="E430" s="9">
        <v>63.1</v>
      </c>
      <c r="F430" s="9">
        <v>74</v>
      </c>
      <c r="G430" s="9">
        <f t="shared" si="6"/>
        <v>137.1</v>
      </c>
      <c r="H430" s="8"/>
    </row>
    <row r="431" spans="1:8" ht="22.5" customHeight="1">
      <c r="A431" s="8" t="s">
        <v>43</v>
      </c>
      <c r="B431" s="8" t="str">
        <f>"汪明"</f>
        <v>汪明</v>
      </c>
      <c r="C431" s="8" t="str">
        <f>"340828199403065335"</f>
        <v>340828199403065335</v>
      </c>
      <c r="D431" s="8" t="str">
        <f>"20200301606"</f>
        <v>20200301606</v>
      </c>
      <c r="E431" s="9">
        <v>63.1</v>
      </c>
      <c r="F431" s="9">
        <v>73</v>
      </c>
      <c r="G431" s="9">
        <f t="shared" si="6"/>
        <v>136.1</v>
      </c>
      <c r="H431" s="8"/>
    </row>
    <row r="432" spans="1:8" ht="22.5" customHeight="1">
      <c r="A432" s="8" t="s">
        <v>43</v>
      </c>
      <c r="B432" s="8" t="str">
        <f>"王静静"</f>
        <v>王静静</v>
      </c>
      <c r="C432" s="8" t="str">
        <f>"32083019950225026X"</f>
        <v>32083019950225026X</v>
      </c>
      <c r="D432" s="8" t="str">
        <f>"20200301528"</f>
        <v>20200301528</v>
      </c>
      <c r="E432" s="9">
        <v>61</v>
      </c>
      <c r="F432" s="9">
        <v>74.5</v>
      </c>
      <c r="G432" s="9">
        <f t="shared" si="6"/>
        <v>135.5</v>
      </c>
      <c r="H432" s="8"/>
    </row>
    <row r="433" spans="1:8" ht="22.5" customHeight="1">
      <c r="A433" s="8" t="s">
        <v>43</v>
      </c>
      <c r="B433" s="8" t="str">
        <f>"王悦"</f>
        <v>王悦</v>
      </c>
      <c r="C433" s="8" t="str">
        <f>"341182199608310227"</f>
        <v>341182199608310227</v>
      </c>
      <c r="D433" s="8" t="str">
        <f>"20200301613"</f>
        <v>20200301613</v>
      </c>
      <c r="E433" s="9">
        <v>61.7</v>
      </c>
      <c r="F433" s="9">
        <v>73.5</v>
      </c>
      <c r="G433" s="9">
        <f t="shared" si="6"/>
        <v>135.2</v>
      </c>
      <c r="H433" s="8"/>
    </row>
    <row r="434" spans="1:8" ht="22.5" customHeight="1">
      <c r="A434" s="8" t="s">
        <v>43</v>
      </c>
      <c r="B434" s="8" t="str">
        <f>"梁迎迎"</f>
        <v>梁迎迎</v>
      </c>
      <c r="C434" s="8" t="str">
        <f>"342222198902281688"</f>
        <v>342222198902281688</v>
      </c>
      <c r="D434" s="8" t="str">
        <f>"20200301522"</f>
        <v>20200301522</v>
      </c>
      <c r="E434" s="9">
        <v>60.8</v>
      </c>
      <c r="F434" s="9">
        <v>72</v>
      </c>
      <c r="G434" s="9">
        <f t="shared" si="6"/>
        <v>132.8</v>
      </c>
      <c r="H434" s="8"/>
    </row>
    <row r="435" spans="1:8" ht="22.5" customHeight="1">
      <c r="A435" s="8" t="s">
        <v>43</v>
      </c>
      <c r="B435" s="8" t="str">
        <f>"王梦婷"</f>
        <v>王梦婷</v>
      </c>
      <c r="C435" s="8" t="str">
        <f>"341182199606180422"</f>
        <v>341182199606180422</v>
      </c>
      <c r="D435" s="8" t="str">
        <f>"20200301601"</f>
        <v>20200301601</v>
      </c>
      <c r="E435" s="9">
        <v>62.8</v>
      </c>
      <c r="F435" s="9">
        <v>70</v>
      </c>
      <c r="G435" s="9">
        <f t="shared" si="6"/>
        <v>132.8</v>
      </c>
      <c r="H435" s="8"/>
    </row>
    <row r="436" spans="1:8" ht="22.5" customHeight="1">
      <c r="A436" s="8" t="s">
        <v>43</v>
      </c>
      <c r="B436" s="8" t="str">
        <f>"王颖"</f>
        <v>王颖</v>
      </c>
      <c r="C436" s="8" t="str">
        <f>"341182199411094225"</f>
        <v>341182199411094225</v>
      </c>
      <c r="D436" s="8" t="str">
        <f>"20200301621"</f>
        <v>20200301621</v>
      </c>
      <c r="E436" s="9">
        <v>60</v>
      </c>
      <c r="F436" s="9">
        <v>72.5</v>
      </c>
      <c r="G436" s="9">
        <f t="shared" si="6"/>
        <v>132.5</v>
      </c>
      <c r="H436" s="8"/>
    </row>
    <row r="437" spans="1:8" ht="22.5" customHeight="1">
      <c r="A437" s="8" t="s">
        <v>43</v>
      </c>
      <c r="B437" s="8" t="str">
        <f>"王颖"</f>
        <v>王颖</v>
      </c>
      <c r="C437" s="8" t="str">
        <f>"341182199510230026"</f>
        <v>341182199510230026</v>
      </c>
      <c r="D437" s="8" t="str">
        <f>"20200301509"</f>
        <v>20200301509</v>
      </c>
      <c r="E437" s="9">
        <v>60.4</v>
      </c>
      <c r="F437" s="9">
        <v>70.5</v>
      </c>
      <c r="G437" s="9">
        <f t="shared" si="6"/>
        <v>130.9</v>
      </c>
      <c r="H437" s="8"/>
    </row>
    <row r="438" spans="1:8" ht="22.5" customHeight="1">
      <c r="A438" s="8" t="s">
        <v>43</v>
      </c>
      <c r="B438" s="8" t="str">
        <f>"周悦"</f>
        <v>周悦</v>
      </c>
      <c r="C438" s="8" t="str">
        <f>"342626199411082686"</f>
        <v>342626199411082686</v>
      </c>
      <c r="D438" s="8" t="str">
        <f>"20200301529"</f>
        <v>20200301529</v>
      </c>
      <c r="E438" s="9">
        <v>59.5</v>
      </c>
      <c r="F438" s="9">
        <v>70.5</v>
      </c>
      <c r="G438" s="9">
        <f t="shared" si="6"/>
        <v>130</v>
      </c>
      <c r="H438" s="8"/>
    </row>
    <row r="439" spans="1:8" ht="22.5" customHeight="1">
      <c r="A439" s="8" t="s">
        <v>43</v>
      </c>
      <c r="B439" s="8" t="str">
        <f>"贾文杰"</f>
        <v>贾文杰</v>
      </c>
      <c r="C439" s="8" t="str">
        <f>"34110219871201101X"</f>
        <v>34110219871201101X</v>
      </c>
      <c r="D439" s="8" t="str">
        <f>"20200301520"</f>
        <v>20200301520</v>
      </c>
      <c r="E439" s="9">
        <v>58.3</v>
      </c>
      <c r="F439" s="9">
        <v>71</v>
      </c>
      <c r="G439" s="9">
        <f t="shared" si="6"/>
        <v>129.3</v>
      </c>
      <c r="H439" s="8"/>
    </row>
    <row r="440" spans="1:8" ht="22.5" customHeight="1">
      <c r="A440" s="8" t="s">
        <v>43</v>
      </c>
      <c r="B440" s="8" t="str">
        <f>"熊敏"</f>
        <v>熊敏</v>
      </c>
      <c r="C440" s="8" t="str">
        <f>"420922199002262829"</f>
        <v>420922199002262829</v>
      </c>
      <c r="D440" s="8" t="str">
        <f>"20200301603"</f>
        <v>20200301603</v>
      </c>
      <c r="E440" s="9">
        <v>54</v>
      </c>
      <c r="F440" s="9">
        <v>74</v>
      </c>
      <c r="G440" s="9">
        <f t="shared" si="6"/>
        <v>128</v>
      </c>
      <c r="H440" s="8"/>
    </row>
    <row r="441" spans="1:8" ht="22.5" customHeight="1">
      <c r="A441" s="8" t="s">
        <v>43</v>
      </c>
      <c r="B441" s="8" t="str">
        <f>"韩晓洁"</f>
        <v>韩晓洁</v>
      </c>
      <c r="C441" s="8" t="str">
        <f>"341182199303200465"</f>
        <v>341182199303200465</v>
      </c>
      <c r="D441" s="8" t="str">
        <f>"20200301608"</f>
        <v>20200301608</v>
      </c>
      <c r="E441" s="9">
        <v>57</v>
      </c>
      <c r="F441" s="9">
        <v>71</v>
      </c>
      <c r="G441" s="9">
        <f t="shared" si="6"/>
        <v>128</v>
      </c>
      <c r="H441" s="8"/>
    </row>
    <row r="442" spans="1:8" ht="22.5" customHeight="1">
      <c r="A442" s="8" t="s">
        <v>43</v>
      </c>
      <c r="B442" s="8" t="str">
        <f>"丁文"</f>
        <v>丁文</v>
      </c>
      <c r="C442" s="8" t="str">
        <f>"341182199408105421"</f>
        <v>341182199408105421</v>
      </c>
      <c r="D442" s="8" t="str">
        <f>"20200301510"</f>
        <v>20200301510</v>
      </c>
      <c r="E442" s="9">
        <v>55</v>
      </c>
      <c r="F442" s="9">
        <v>72</v>
      </c>
      <c r="G442" s="9">
        <f t="shared" si="6"/>
        <v>127</v>
      </c>
      <c r="H442" s="8"/>
    </row>
    <row r="443" spans="1:8" ht="22.5" customHeight="1">
      <c r="A443" s="8" t="s">
        <v>43</v>
      </c>
      <c r="B443" s="8" t="str">
        <f>"刘美美"</f>
        <v>刘美美</v>
      </c>
      <c r="C443" s="8" t="str">
        <f>"342201199407306721"</f>
        <v>342201199407306721</v>
      </c>
      <c r="D443" s="8" t="str">
        <f>"20200301503"</f>
        <v>20200301503</v>
      </c>
      <c r="E443" s="9">
        <v>56.5</v>
      </c>
      <c r="F443" s="9">
        <v>70</v>
      </c>
      <c r="G443" s="9">
        <f t="shared" si="6"/>
        <v>126.5</v>
      </c>
      <c r="H443" s="8"/>
    </row>
    <row r="444" spans="1:8" ht="22.5" customHeight="1">
      <c r="A444" s="8" t="s">
        <v>43</v>
      </c>
      <c r="B444" s="8" t="str">
        <f>"李元元"</f>
        <v>李元元</v>
      </c>
      <c r="C444" s="8" t="str">
        <f>"341182199405243829"</f>
        <v>341182199405243829</v>
      </c>
      <c r="D444" s="8" t="str">
        <f>"20200301517"</f>
        <v>20200301517</v>
      </c>
      <c r="E444" s="9">
        <v>52.8</v>
      </c>
      <c r="F444" s="9">
        <v>73</v>
      </c>
      <c r="G444" s="9">
        <f t="shared" si="6"/>
        <v>125.8</v>
      </c>
      <c r="H444" s="8"/>
    </row>
    <row r="445" spans="1:8" ht="22.5" customHeight="1">
      <c r="A445" s="8" t="s">
        <v>43</v>
      </c>
      <c r="B445" s="8" t="str">
        <f>"包志芳"</f>
        <v>包志芳</v>
      </c>
      <c r="C445" s="8" t="str">
        <f>"341182199006280622"</f>
        <v>341182199006280622</v>
      </c>
      <c r="D445" s="8" t="str">
        <f>"20200301513"</f>
        <v>20200301513</v>
      </c>
      <c r="E445" s="9">
        <v>54.5</v>
      </c>
      <c r="F445" s="9">
        <v>70.5</v>
      </c>
      <c r="G445" s="9">
        <f t="shared" si="6"/>
        <v>125</v>
      </c>
      <c r="H445" s="8"/>
    </row>
    <row r="446" spans="1:8" ht="22.5" customHeight="1">
      <c r="A446" s="8" t="s">
        <v>43</v>
      </c>
      <c r="B446" s="8" t="str">
        <f>"陈玉昊"</f>
        <v>陈玉昊</v>
      </c>
      <c r="C446" s="8" t="str">
        <f>"341126199011100613"</f>
        <v>341126199011100613</v>
      </c>
      <c r="D446" s="8" t="str">
        <f>"20200301611"</f>
        <v>20200301611</v>
      </c>
      <c r="E446" s="9">
        <v>57.3</v>
      </c>
      <c r="F446" s="9">
        <v>67</v>
      </c>
      <c r="G446" s="9">
        <f t="shared" si="6"/>
        <v>124.3</v>
      </c>
      <c r="H446" s="8"/>
    </row>
    <row r="447" spans="1:8" ht="22.5" customHeight="1">
      <c r="A447" s="8" t="s">
        <v>43</v>
      </c>
      <c r="B447" s="8" t="str">
        <f>"刘雪"</f>
        <v>刘雪</v>
      </c>
      <c r="C447" s="8" t="str">
        <f>"341182199310133643"</f>
        <v>341182199310133643</v>
      </c>
      <c r="D447" s="8" t="str">
        <f>"20200301514"</f>
        <v>20200301514</v>
      </c>
      <c r="E447" s="9">
        <v>51.2</v>
      </c>
      <c r="F447" s="9">
        <v>73</v>
      </c>
      <c r="G447" s="9">
        <f t="shared" si="6"/>
        <v>124.2</v>
      </c>
      <c r="H447" s="8"/>
    </row>
    <row r="448" spans="1:8" ht="22.5" customHeight="1">
      <c r="A448" s="8" t="s">
        <v>43</v>
      </c>
      <c r="B448" s="8" t="str">
        <f>"杜剑飞"</f>
        <v>杜剑飞</v>
      </c>
      <c r="C448" s="8" t="str">
        <f>"341126199509152816"</f>
        <v>341126199509152816</v>
      </c>
      <c r="D448" s="8" t="str">
        <f>"20200301516"</f>
        <v>20200301516</v>
      </c>
      <c r="E448" s="9">
        <v>58.2</v>
      </c>
      <c r="F448" s="9">
        <v>66</v>
      </c>
      <c r="G448" s="9">
        <f t="shared" si="6"/>
        <v>124.2</v>
      </c>
      <c r="H448" s="8"/>
    </row>
    <row r="449" spans="1:8" ht="22.5" customHeight="1">
      <c r="A449" s="8" t="s">
        <v>43</v>
      </c>
      <c r="B449" s="8" t="str">
        <f>"李冬"</f>
        <v>李冬</v>
      </c>
      <c r="C449" s="8" t="str">
        <f>"341182199101125823"</f>
        <v>341182199101125823</v>
      </c>
      <c r="D449" s="8" t="str">
        <f>"20200301620"</f>
        <v>20200301620</v>
      </c>
      <c r="E449" s="9">
        <v>55.1</v>
      </c>
      <c r="F449" s="9">
        <v>68.5</v>
      </c>
      <c r="G449" s="9">
        <f t="shared" si="6"/>
        <v>123.6</v>
      </c>
      <c r="H449" s="8"/>
    </row>
    <row r="450" spans="1:8" ht="22.5" customHeight="1">
      <c r="A450" s="8" t="s">
        <v>43</v>
      </c>
      <c r="B450" s="8" t="str">
        <f>"张黎"</f>
        <v>张黎</v>
      </c>
      <c r="C450" s="8" t="str">
        <f>"341182199311050647"</f>
        <v>341182199311050647</v>
      </c>
      <c r="D450" s="8" t="str">
        <f>"20200301619"</f>
        <v>20200301619</v>
      </c>
      <c r="E450" s="9">
        <v>52.8</v>
      </c>
      <c r="F450" s="9">
        <v>70.5</v>
      </c>
      <c r="G450" s="9">
        <f t="shared" si="6"/>
        <v>123.3</v>
      </c>
      <c r="H450" s="8"/>
    </row>
    <row r="451" spans="1:8" ht="22.5" customHeight="1">
      <c r="A451" s="8" t="s">
        <v>43</v>
      </c>
      <c r="B451" s="8" t="str">
        <f>"倪玉婕"</f>
        <v>倪玉婕</v>
      </c>
      <c r="C451" s="8" t="str">
        <f>"341182199601210223"</f>
        <v>341182199601210223</v>
      </c>
      <c r="D451" s="8" t="str">
        <f>"20200301508"</f>
        <v>20200301508</v>
      </c>
      <c r="E451" s="9">
        <v>52.8</v>
      </c>
      <c r="F451" s="9">
        <v>69.5</v>
      </c>
      <c r="G451" s="9">
        <f aca="true" t="shared" si="7" ref="G451:G514">E451+F451</f>
        <v>122.3</v>
      </c>
      <c r="H451" s="8"/>
    </row>
    <row r="452" spans="1:8" ht="22.5" customHeight="1">
      <c r="A452" s="8" t="s">
        <v>43</v>
      </c>
      <c r="B452" s="8" t="str">
        <f>"汪娜"</f>
        <v>汪娜</v>
      </c>
      <c r="C452" s="8" t="str">
        <f>"341182199308200640"</f>
        <v>341182199308200640</v>
      </c>
      <c r="D452" s="8" t="str">
        <f>"20200301610"</f>
        <v>20200301610</v>
      </c>
      <c r="E452" s="9">
        <v>51.2</v>
      </c>
      <c r="F452" s="9">
        <v>71</v>
      </c>
      <c r="G452" s="9">
        <f t="shared" si="7"/>
        <v>122.2</v>
      </c>
      <c r="H452" s="8"/>
    </row>
    <row r="453" spans="1:8" ht="22.5" customHeight="1">
      <c r="A453" s="8" t="s">
        <v>43</v>
      </c>
      <c r="B453" s="8" t="str">
        <f>"殷志茹"</f>
        <v>殷志茹</v>
      </c>
      <c r="C453" s="8" t="str">
        <f>"34118219931027362X"</f>
        <v>34118219931027362X</v>
      </c>
      <c r="D453" s="8" t="str">
        <f>"20200301527"</f>
        <v>20200301527</v>
      </c>
      <c r="E453" s="9">
        <v>47.9</v>
      </c>
      <c r="F453" s="9">
        <v>74</v>
      </c>
      <c r="G453" s="9">
        <f t="shared" si="7"/>
        <v>121.9</v>
      </c>
      <c r="H453" s="8"/>
    </row>
    <row r="454" spans="1:8" ht="22.5" customHeight="1">
      <c r="A454" s="8" t="s">
        <v>43</v>
      </c>
      <c r="B454" s="8" t="str">
        <f>"李冰川"</f>
        <v>李冰川</v>
      </c>
      <c r="C454" s="8" t="str">
        <f>"130929198412030343"</f>
        <v>130929198412030343</v>
      </c>
      <c r="D454" s="8" t="str">
        <f>"20200301511"</f>
        <v>20200301511</v>
      </c>
      <c r="E454" s="9">
        <v>52.5</v>
      </c>
      <c r="F454" s="9">
        <v>68.5</v>
      </c>
      <c r="G454" s="9">
        <f t="shared" si="7"/>
        <v>121</v>
      </c>
      <c r="H454" s="8"/>
    </row>
    <row r="455" spans="1:8" ht="22.5" customHeight="1">
      <c r="A455" s="8" t="s">
        <v>43</v>
      </c>
      <c r="B455" s="8" t="str">
        <f>"宋妍妍"</f>
        <v>宋妍妍</v>
      </c>
      <c r="C455" s="8" t="str">
        <f>"341182199104102643"</f>
        <v>341182199104102643</v>
      </c>
      <c r="D455" s="8" t="str">
        <f>"20200301622"</f>
        <v>20200301622</v>
      </c>
      <c r="E455" s="9">
        <v>50.3</v>
      </c>
      <c r="F455" s="9">
        <v>69.5</v>
      </c>
      <c r="G455" s="9">
        <f t="shared" si="7"/>
        <v>119.8</v>
      </c>
      <c r="H455" s="8"/>
    </row>
    <row r="456" spans="1:8" ht="22.5" customHeight="1">
      <c r="A456" s="8" t="s">
        <v>43</v>
      </c>
      <c r="B456" s="8" t="str">
        <f>"马凌凌"</f>
        <v>马凌凌</v>
      </c>
      <c r="C456" s="8" t="str">
        <f>"341182199302190429"</f>
        <v>341182199302190429</v>
      </c>
      <c r="D456" s="8" t="str">
        <f>"20200301530"</f>
        <v>20200301530</v>
      </c>
      <c r="E456" s="9">
        <v>53.7</v>
      </c>
      <c r="F456" s="9">
        <v>65.5</v>
      </c>
      <c r="G456" s="9">
        <f t="shared" si="7"/>
        <v>119.2</v>
      </c>
      <c r="H456" s="8"/>
    </row>
    <row r="457" spans="1:8" ht="22.5" customHeight="1">
      <c r="A457" s="8" t="s">
        <v>43</v>
      </c>
      <c r="B457" s="8" t="str">
        <f>"陈璐"</f>
        <v>陈璐</v>
      </c>
      <c r="C457" s="8" t="str">
        <f>"341182199412220027"</f>
        <v>341182199412220027</v>
      </c>
      <c r="D457" s="8" t="str">
        <f>"20200301512"</f>
        <v>20200301512</v>
      </c>
      <c r="E457" s="9">
        <v>47.7</v>
      </c>
      <c r="F457" s="9">
        <v>71</v>
      </c>
      <c r="G457" s="9">
        <f t="shared" si="7"/>
        <v>118.7</v>
      </c>
      <c r="H457" s="8"/>
    </row>
    <row r="458" spans="1:8" ht="22.5" customHeight="1">
      <c r="A458" s="8" t="s">
        <v>43</v>
      </c>
      <c r="B458" s="8" t="str">
        <f>"高维雨"</f>
        <v>高维雨</v>
      </c>
      <c r="C458" s="8" t="str">
        <f>"341182199611070041"</f>
        <v>341182199611070041</v>
      </c>
      <c r="D458" s="8" t="str">
        <f>"20200301526"</f>
        <v>20200301526</v>
      </c>
      <c r="E458" s="9">
        <v>47.6</v>
      </c>
      <c r="F458" s="9">
        <v>71</v>
      </c>
      <c r="G458" s="9">
        <f t="shared" si="7"/>
        <v>118.6</v>
      </c>
      <c r="H458" s="8"/>
    </row>
    <row r="459" spans="1:8" ht="22.5" customHeight="1">
      <c r="A459" s="8" t="s">
        <v>43</v>
      </c>
      <c r="B459" s="8" t="str">
        <f>"徐诗甜"</f>
        <v>徐诗甜</v>
      </c>
      <c r="C459" s="8" t="str">
        <f>"341182199301233626"</f>
        <v>341182199301233626</v>
      </c>
      <c r="D459" s="8" t="str">
        <f>"20200301506"</f>
        <v>20200301506</v>
      </c>
      <c r="E459" s="9">
        <v>48.5</v>
      </c>
      <c r="F459" s="9">
        <v>69.5</v>
      </c>
      <c r="G459" s="9">
        <f t="shared" si="7"/>
        <v>118</v>
      </c>
      <c r="H459" s="8"/>
    </row>
    <row r="460" spans="1:8" ht="22.5" customHeight="1">
      <c r="A460" s="8" t="s">
        <v>43</v>
      </c>
      <c r="B460" s="8" t="str">
        <f>"叶秀莲"</f>
        <v>叶秀莲</v>
      </c>
      <c r="C460" s="8" t="str">
        <f>"341182199610295425"</f>
        <v>341182199610295425</v>
      </c>
      <c r="D460" s="8" t="str">
        <f>"20200301504"</f>
        <v>20200301504</v>
      </c>
      <c r="E460" s="9">
        <v>45.1</v>
      </c>
      <c r="F460" s="9">
        <v>72.5</v>
      </c>
      <c r="G460" s="9">
        <f t="shared" si="7"/>
        <v>117.6</v>
      </c>
      <c r="H460" s="8"/>
    </row>
    <row r="461" spans="1:8" ht="22.5" customHeight="1">
      <c r="A461" s="8" t="s">
        <v>43</v>
      </c>
      <c r="B461" s="8" t="str">
        <f>"雷雨"</f>
        <v>雷雨</v>
      </c>
      <c r="C461" s="8" t="str">
        <f>"341182199612194820"</f>
        <v>341182199612194820</v>
      </c>
      <c r="D461" s="8" t="str">
        <f>"20200301518"</f>
        <v>20200301518</v>
      </c>
      <c r="E461" s="9">
        <v>48.3</v>
      </c>
      <c r="F461" s="9">
        <v>68.5</v>
      </c>
      <c r="G461" s="9">
        <f t="shared" si="7"/>
        <v>116.8</v>
      </c>
      <c r="H461" s="8"/>
    </row>
    <row r="462" spans="1:8" ht="22.5" customHeight="1">
      <c r="A462" s="8" t="s">
        <v>43</v>
      </c>
      <c r="B462" s="8" t="str">
        <f>"杨燕"</f>
        <v>杨燕</v>
      </c>
      <c r="C462" s="8" t="str">
        <f>"341182198906160023"</f>
        <v>341182198906160023</v>
      </c>
      <c r="D462" s="8" t="str">
        <f>"20200301524"</f>
        <v>20200301524</v>
      </c>
      <c r="E462" s="9">
        <v>49</v>
      </c>
      <c r="F462" s="9">
        <v>67</v>
      </c>
      <c r="G462" s="9">
        <f t="shared" si="7"/>
        <v>116</v>
      </c>
      <c r="H462" s="8"/>
    </row>
    <row r="463" spans="1:8" ht="22.5" customHeight="1">
      <c r="A463" s="8" t="s">
        <v>43</v>
      </c>
      <c r="B463" s="8" t="str">
        <f>"姚飞"</f>
        <v>姚飞</v>
      </c>
      <c r="C463" s="8" t="str">
        <f>"340323198608160033"</f>
        <v>340323198608160033</v>
      </c>
      <c r="D463" s="8" t="str">
        <f>"20200301617"</f>
        <v>20200301617</v>
      </c>
      <c r="E463" s="9">
        <v>54.2</v>
      </c>
      <c r="F463" s="9">
        <v>61.5</v>
      </c>
      <c r="G463" s="9">
        <f t="shared" si="7"/>
        <v>115.7</v>
      </c>
      <c r="H463" s="8"/>
    </row>
    <row r="464" spans="1:8" ht="22.5" customHeight="1">
      <c r="A464" s="8" t="s">
        <v>43</v>
      </c>
      <c r="B464" s="8" t="str">
        <f>"解晓佳"</f>
        <v>解晓佳</v>
      </c>
      <c r="C464" s="8" t="str">
        <f>"341182198905130025"</f>
        <v>341182198905130025</v>
      </c>
      <c r="D464" s="8" t="str">
        <f>"20200301618"</f>
        <v>20200301618</v>
      </c>
      <c r="E464" s="9">
        <v>43.5</v>
      </c>
      <c r="F464" s="9">
        <v>69.5</v>
      </c>
      <c r="G464" s="9">
        <f t="shared" si="7"/>
        <v>113</v>
      </c>
      <c r="H464" s="8"/>
    </row>
    <row r="465" spans="1:8" ht="22.5" customHeight="1">
      <c r="A465" s="8" t="s">
        <v>43</v>
      </c>
      <c r="B465" s="8" t="str">
        <f>"王丽丽"</f>
        <v>王丽丽</v>
      </c>
      <c r="C465" s="8" t="str">
        <f>"341126198807186745"</f>
        <v>341126198807186745</v>
      </c>
      <c r="D465" s="8" t="str">
        <f>"20200301519"</f>
        <v>20200301519</v>
      </c>
      <c r="E465" s="9">
        <v>44.9</v>
      </c>
      <c r="F465" s="9">
        <v>66.5</v>
      </c>
      <c r="G465" s="9">
        <f t="shared" si="7"/>
        <v>111.4</v>
      </c>
      <c r="H465" s="8"/>
    </row>
    <row r="466" spans="1:8" ht="22.5" customHeight="1">
      <c r="A466" s="8" t="s">
        <v>43</v>
      </c>
      <c r="B466" s="8" t="str">
        <f>"谢莉娟"</f>
        <v>谢莉娟</v>
      </c>
      <c r="C466" s="8" t="str">
        <f>"342221198901125548"</f>
        <v>342221198901125548</v>
      </c>
      <c r="D466" s="8" t="str">
        <f>"20200301604"</f>
        <v>20200301604</v>
      </c>
      <c r="E466" s="9">
        <v>39.2</v>
      </c>
      <c r="F466" s="9">
        <v>69</v>
      </c>
      <c r="G466" s="9">
        <f t="shared" si="7"/>
        <v>108.2</v>
      </c>
      <c r="H466" s="8"/>
    </row>
    <row r="467" spans="1:8" ht="22.5" customHeight="1">
      <c r="A467" s="8" t="s">
        <v>43</v>
      </c>
      <c r="B467" s="8" t="str">
        <f>"谢祥山"</f>
        <v>谢祥山</v>
      </c>
      <c r="C467" s="8" t="str">
        <f>"32083019870825523X"</f>
        <v>32083019870825523X</v>
      </c>
      <c r="D467" s="8" t="str">
        <f>"20200301605"</f>
        <v>20200301605</v>
      </c>
      <c r="E467" s="9">
        <v>42.5</v>
      </c>
      <c r="F467" s="9">
        <v>65.5</v>
      </c>
      <c r="G467" s="9">
        <f t="shared" si="7"/>
        <v>108</v>
      </c>
      <c r="H467" s="8"/>
    </row>
    <row r="468" spans="1:8" ht="22.5" customHeight="1">
      <c r="A468" s="8" t="s">
        <v>43</v>
      </c>
      <c r="B468" s="8" t="str">
        <f>"陈瑞"</f>
        <v>陈瑞</v>
      </c>
      <c r="C468" s="8" t="str">
        <f>"341182199112262428"</f>
        <v>341182199112262428</v>
      </c>
      <c r="D468" s="8" t="str">
        <f>"20200301615"</f>
        <v>20200301615</v>
      </c>
      <c r="E468" s="9">
        <v>36.9</v>
      </c>
      <c r="F468" s="9">
        <v>67.5</v>
      </c>
      <c r="G468" s="9">
        <f t="shared" si="7"/>
        <v>104.4</v>
      </c>
      <c r="H468" s="8"/>
    </row>
    <row r="469" spans="1:8" ht="22.5" customHeight="1">
      <c r="A469" s="8" t="s">
        <v>43</v>
      </c>
      <c r="B469" s="8" t="str">
        <f>"宋玉美"</f>
        <v>宋玉美</v>
      </c>
      <c r="C469" s="8" t="str">
        <f>"342625198811203001"</f>
        <v>342625198811203001</v>
      </c>
      <c r="D469" s="8" t="str">
        <f>"20200301609"</f>
        <v>20200301609</v>
      </c>
      <c r="E469" s="9">
        <v>39.3</v>
      </c>
      <c r="F469" s="9">
        <v>50</v>
      </c>
      <c r="G469" s="9">
        <f t="shared" si="7"/>
        <v>89.3</v>
      </c>
      <c r="H469" s="8"/>
    </row>
    <row r="470" spans="1:8" ht="22.5" customHeight="1">
      <c r="A470" s="8" t="s">
        <v>43</v>
      </c>
      <c r="B470" s="8" t="str">
        <f>"程红媛"</f>
        <v>程红媛</v>
      </c>
      <c r="C470" s="8" t="str">
        <f>"341182199601111225"</f>
        <v>341182199601111225</v>
      </c>
      <c r="D470" s="8" t="str">
        <f>"20200301523"</f>
        <v>20200301523</v>
      </c>
      <c r="E470" s="9">
        <v>0</v>
      </c>
      <c r="F470" s="9">
        <v>0</v>
      </c>
      <c r="G470" s="9">
        <f t="shared" si="7"/>
        <v>0</v>
      </c>
      <c r="H470" s="8" t="s">
        <v>10</v>
      </c>
    </row>
    <row r="471" spans="1:8" ht="22.5" customHeight="1">
      <c r="A471" s="8" t="s">
        <v>43</v>
      </c>
      <c r="B471" s="8" t="str">
        <f>"张秀芳"</f>
        <v>张秀芳</v>
      </c>
      <c r="C471" s="8" t="str">
        <f>"341182199403153088"</f>
        <v>341182199403153088</v>
      </c>
      <c r="D471" s="8" t="str">
        <f>"20200301525"</f>
        <v>20200301525</v>
      </c>
      <c r="E471" s="9">
        <v>0</v>
      </c>
      <c r="F471" s="9">
        <v>0</v>
      </c>
      <c r="G471" s="9">
        <f t="shared" si="7"/>
        <v>0</v>
      </c>
      <c r="H471" s="8" t="s">
        <v>10</v>
      </c>
    </row>
    <row r="472" spans="1:8" ht="22.5" customHeight="1">
      <c r="A472" s="8" t="s">
        <v>43</v>
      </c>
      <c r="B472" s="8" t="str">
        <f>"孙洁"</f>
        <v>孙洁</v>
      </c>
      <c r="C472" s="8" t="str">
        <f>"341182199507315029"</f>
        <v>341182199507315029</v>
      </c>
      <c r="D472" s="8" t="str">
        <f>"20200301607"</f>
        <v>20200301607</v>
      </c>
      <c r="E472" s="9">
        <v>0</v>
      </c>
      <c r="F472" s="9">
        <v>0</v>
      </c>
      <c r="G472" s="9">
        <f t="shared" si="7"/>
        <v>0</v>
      </c>
      <c r="H472" s="8" t="s">
        <v>10</v>
      </c>
    </row>
    <row r="473" spans="1:8" ht="22.5" customHeight="1">
      <c r="A473" s="8" t="s">
        <v>43</v>
      </c>
      <c r="B473" s="8" t="str">
        <f>"魏翔"</f>
        <v>魏翔</v>
      </c>
      <c r="C473" s="8" t="str">
        <f>"340403199412241215"</f>
        <v>340403199412241215</v>
      </c>
      <c r="D473" s="8" t="str">
        <f>"20200301612"</f>
        <v>20200301612</v>
      </c>
      <c r="E473" s="9">
        <v>0</v>
      </c>
      <c r="F473" s="9">
        <v>0</v>
      </c>
      <c r="G473" s="9">
        <f t="shared" si="7"/>
        <v>0</v>
      </c>
      <c r="H473" s="8" t="s">
        <v>10</v>
      </c>
    </row>
    <row r="474" spans="1:8" ht="22.5" customHeight="1">
      <c r="A474" s="8" t="s">
        <v>43</v>
      </c>
      <c r="B474" s="8" t="str">
        <f>"朱荣荣"</f>
        <v>朱荣荣</v>
      </c>
      <c r="C474" s="8" t="str">
        <f>"341182199409263069"</f>
        <v>341182199409263069</v>
      </c>
      <c r="D474" s="8" t="str">
        <f>"20200301614"</f>
        <v>20200301614</v>
      </c>
      <c r="E474" s="9">
        <v>0</v>
      </c>
      <c r="F474" s="9">
        <v>0</v>
      </c>
      <c r="G474" s="9">
        <f t="shared" si="7"/>
        <v>0</v>
      </c>
      <c r="H474" s="8" t="s">
        <v>10</v>
      </c>
    </row>
    <row r="475" spans="1:8" ht="22.5" customHeight="1">
      <c r="A475" s="8" t="s">
        <v>43</v>
      </c>
      <c r="B475" s="8" t="str">
        <f>"刘月"</f>
        <v>刘月</v>
      </c>
      <c r="C475" s="8" t="str">
        <f>"341127199403162422"</f>
        <v>341127199403162422</v>
      </c>
      <c r="D475" s="8" t="str">
        <f>"20200301616"</f>
        <v>20200301616</v>
      </c>
      <c r="E475" s="9">
        <v>0</v>
      </c>
      <c r="F475" s="9">
        <v>0</v>
      </c>
      <c r="G475" s="9">
        <f t="shared" si="7"/>
        <v>0</v>
      </c>
      <c r="H475" s="8" t="s">
        <v>10</v>
      </c>
    </row>
    <row r="476" spans="1:8" ht="22.5" customHeight="1">
      <c r="A476" s="8" t="s">
        <v>43</v>
      </c>
      <c r="B476" s="8" t="str">
        <f>"祖沙沙"</f>
        <v>祖沙沙</v>
      </c>
      <c r="C476" s="8" t="str">
        <f>"342501198803246048"</f>
        <v>342501198803246048</v>
      </c>
      <c r="D476" s="8" t="str">
        <f>"20200301623"</f>
        <v>20200301623</v>
      </c>
      <c r="E476" s="9">
        <v>0</v>
      </c>
      <c r="F476" s="9">
        <v>0</v>
      </c>
      <c r="G476" s="9">
        <f t="shared" si="7"/>
        <v>0</v>
      </c>
      <c r="H476" s="8" t="s">
        <v>10</v>
      </c>
    </row>
    <row r="477" spans="1:8" ht="22.5" customHeight="1">
      <c r="A477" s="8" t="s">
        <v>43</v>
      </c>
      <c r="B477" s="8" t="str">
        <f>"张元馨"</f>
        <v>张元馨</v>
      </c>
      <c r="C477" s="8" t="str">
        <f>"341102199010310415"</f>
        <v>341102199010310415</v>
      </c>
      <c r="D477" s="8" t="str">
        <f>"20200301625"</f>
        <v>20200301625</v>
      </c>
      <c r="E477" s="9">
        <v>0</v>
      </c>
      <c r="F477" s="9">
        <v>0</v>
      </c>
      <c r="G477" s="9">
        <f t="shared" si="7"/>
        <v>0</v>
      </c>
      <c r="H477" s="8" t="s">
        <v>10</v>
      </c>
    </row>
    <row r="478" spans="1:8" ht="22.5" customHeight="1">
      <c r="A478" s="8" t="s">
        <v>44</v>
      </c>
      <c r="B478" s="8" t="str">
        <f>"闵卫平"</f>
        <v>闵卫平</v>
      </c>
      <c r="C478" s="8" t="str">
        <f>"341181199304280616"</f>
        <v>341181199304280616</v>
      </c>
      <c r="D478" s="8" t="str">
        <f>"20200301711"</f>
        <v>20200301711</v>
      </c>
      <c r="E478" s="9">
        <v>71.5</v>
      </c>
      <c r="F478" s="9">
        <v>71.5</v>
      </c>
      <c r="G478" s="9">
        <f t="shared" si="7"/>
        <v>143</v>
      </c>
      <c r="H478" s="8"/>
    </row>
    <row r="479" spans="1:8" ht="22.5" customHeight="1">
      <c r="A479" s="8" t="s">
        <v>44</v>
      </c>
      <c r="B479" s="8" t="str">
        <f>"王一飞"</f>
        <v>王一飞</v>
      </c>
      <c r="C479" s="8" t="str">
        <f>"341182199305034819"</f>
        <v>341182199305034819</v>
      </c>
      <c r="D479" s="8" t="str">
        <f>"20200301706"</f>
        <v>20200301706</v>
      </c>
      <c r="E479" s="9">
        <v>62.1</v>
      </c>
      <c r="F479" s="9">
        <v>73</v>
      </c>
      <c r="G479" s="9">
        <f t="shared" si="7"/>
        <v>135.1</v>
      </c>
      <c r="H479" s="8"/>
    </row>
    <row r="480" spans="1:8" ht="22.5" customHeight="1">
      <c r="A480" s="8" t="s">
        <v>44</v>
      </c>
      <c r="B480" s="8" t="str">
        <f>"姜笑然"</f>
        <v>姜笑然</v>
      </c>
      <c r="C480" s="8" t="str">
        <f>"341182199710160616"</f>
        <v>341182199710160616</v>
      </c>
      <c r="D480" s="8" t="str">
        <f>"20200301626"</f>
        <v>20200301626</v>
      </c>
      <c r="E480" s="9">
        <v>64.3</v>
      </c>
      <c r="F480" s="9">
        <v>67</v>
      </c>
      <c r="G480" s="9">
        <f t="shared" si="7"/>
        <v>131.3</v>
      </c>
      <c r="H480" s="8"/>
    </row>
    <row r="481" spans="1:8" ht="22.5" customHeight="1">
      <c r="A481" s="8" t="s">
        <v>44</v>
      </c>
      <c r="B481" s="8" t="str">
        <f>"李延正"</f>
        <v>李延正</v>
      </c>
      <c r="C481" s="8" t="str">
        <f>"341182199308260213"</f>
        <v>341182199308260213</v>
      </c>
      <c r="D481" s="8" t="str">
        <f>"20200301705"</f>
        <v>20200301705</v>
      </c>
      <c r="E481" s="9">
        <v>59.9</v>
      </c>
      <c r="F481" s="9">
        <v>71</v>
      </c>
      <c r="G481" s="9">
        <f t="shared" si="7"/>
        <v>130.9</v>
      </c>
      <c r="H481" s="8"/>
    </row>
    <row r="482" spans="1:8" ht="22.5" customHeight="1">
      <c r="A482" s="8" t="s">
        <v>44</v>
      </c>
      <c r="B482" s="8" t="str">
        <f>"武伟"</f>
        <v>武伟</v>
      </c>
      <c r="C482" s="8" t="str">
        <f>"341102199409296416"</f>
        <v>341102199409296416</v>
      </c>
      <c r="D482" s="8" t="str">
        <f>"20200301701"</f>
        <v>20200301701</v>
      </c>
      <c r="E482" s="9">
        <v>60.1</v>
      </c>
      <c r="F482" s="9">
        <v>70</v>
      </c>
      <c r="G482" s="9">
        <f t="shared" si="7"/>
        <v>130.1</v>
      </c>
      <c r="H482" s="8"/>
    </row>
    <row r="483" spans="1:8" ht="22.5" customHeight="1">
      <c r="A483" s="8" t="s">
        <v>44</v>
      </c>
      <c r="B483" s="8" t="str">
        <f>"徐强"</f>
        <v>徐强</v>
      </c>
      <c r="C483" s="8" t="str">
        <f>"341182199702016016"</f>
        <v>341182199702016016</v>
      </c>
      <c r="D483" s="8" t="str">
        <f>"20200301703"</f>
        <v>20200301703</v>
      </c>
      <c r="E483" s="9">
        <v>58</v>
      </c>
      <c r="F483" s="9">
        <v>70.5</v>
      </c>
      <c r="G483" s="9">
        <f t="shared" si="7"/>
        <v>128.5</v>
      </c>
      <c r="H483" s="8"/>
    </row>
    <row r="484" spans="1:8" ht="22.5" customHeight="1">
      <c r="A484" s="8" t="s">
        <v>44</v>
      </c>
      <c r="B484" s="8" t="str">
        <f>"桑长意"</f>
        <v>桑长意</v>
      </c>
      <c r="C484" s="8" t="str">
        <f>"341182199510062034"</f>
        <v>341182199510062034</v>
      </c>
      <c r="D484" s="8" t="str">
        <f>"20200301707"</f>
        <v>20200301707</v>
      </c>
      <c r="E484" s="9">
        <v>57.3</v>
      </c>
      <c r="F484" s="9">
        <v>70.5</v>
      </c>
      <c r="G484" s="9">
        <f t="shared" si="7"/>
        <v>127.8</v>
      </c>
      <c r="H484" s="8"/>
    </row>
    <row r="485" spans="1:8" ht="22.5" customHeight="1">
      <c r="A485" s="8" t="s">
        <v>44</v>
      </c>
      <c r="B485" s="8" t="str">
        <f>"纪成玉"</f>
        <v>纪成玉</v>
      </c>
      <c r="C485" s="8" t="str">
        <f>"341182199610022646"</f>
        <v>341182199610022646</v>
      </c>
      <c r="D485" s="8" t="str">
        <f>"20200301702"</f>
        <v>20200301702</v>
      </c>
      <c r="E485" s="9">
        <v>54.1</v>
      </c>
      <c r="F485" s="9">
        <v>70.5</v>
      </c>
      <c r="G485" s="9">
        <f t="shared" si="7"/>
        <v>124.6</v>
      </c>
      <c r="H485" s="8"/>
    </row>
    <row r="486" spans="1:8" ht="22.5" customHeight="1">
      <c r="A486" s="8" t="s">
        <v>44</v>
      </c>
      <c r="B486" s="8" t="str">
        <f>"刘宗尧"</f>
        <v>刘宗尧</v>
      </c>
      <c r="C486" s="8" t="str">
        <f>"341125199108022395"</f>
        <v>341125199108022395</v>
      </c>
      <c r="D486" s="8" t="str">
        <f>"20200301710"</f>
        <v>20200301710</v>
      </c>
      <c r="E486" s="9">
        <v>54.6</v>
      </c>
      <c r="F486" s="9">
        <v>70</v>
      </c>
      <c r="G486" s="9">
        <f t="shared" si="7"/>
        <v>124.6</v>
      </c>
      <c r="H486" s="8"/>
    </row>
    <row r="487" spans="1:8" ht="22.5" customHeight="1">
      <c r="A487" s="8" t="s">
        <v>44</v>
      </c>
      <c r="B487" s="8" t="str">
        <f>"干泉"</f>
        <v>干泉</v>
      </c>
      <c r="C487" s="8" t="str">
        <f>"341182199308030434"</f>
        <v>341182199308030434</v>
      </c>
      <c r="D487" s="8" t="str">
        <f>"20200301712"</f>
        <v>20200301712</v>
      </c>
      <c r="E487" s="9">
        <v>51.4</v>
      </c>
      <c r="F487" s="9">
        <v>71.5</v>
      </c>
      <c r="G487" s="9">
        <f t="shared" si="7"/>
        <v>122.9</v>
      </c>
      <c r="H487" s="8"/>
    </row>
    <row r="488" spans="1:8" ht="22.5" customHeight="1">
      <c r="A488" s="8" t="s">
        <v>44</v>
      </c>
      <c r="B488" s="8" t="str">
        <f>"孙国庆"</f>
        <v>孙国庆</v>
      </c>
      <c r="C488" s="8" t="str">
        <f>"341125198910013790"</f>
        <v>341125198910013790</v>
      </c>
      <c r="D488" s="8" t="str">
        <f>"20200301709"</f>
        <v>20200301709</v>
      </c>
      <c r="E488" s="9">
        <v>45</v>
      </c>
      <c r="F488" s="9">
        <v>71.5</v>
      </c>
      <c r="G488" s="9">
        <f t="shared" si="7"/>
        <v>116.5</v>
      </c>
      <c r="H488" s="8"/>
    </row>
    <row r="489" spans="1:8" ht="22.5" customHeight="1">
      <c r="A489" s="8" t="s">
        <v>44</v>
      </c>
      <c r="B489" s="8" t="str">
        <f>"王雪"</f>
        <v>王雪</v>
      </c>
      <c r="C489" s="8" t="str">
        <f>"341182199207216424"</f>
        <v>341182199207216424</v>
      </c>
      <c r="D489" s="8" t="str">
        <f>"20200301704"</f>
        <v>20200301704</v>
      </c>
      <c r="E489" s="9">
        <v>41.8</v>
      </c>
      <c r="F489" s="9">
        <v>74</v>
      </c>
      <c r="G489" s="9">
        <f t="shared" si="7"/>
        <v>115.8</v>
      </c>
      <c r="H489" s="8"/>
    </row>
    <row r="490" spans="1:8" ht="22.5" customHeight="1">
      <c r="A490" s="8" t="s">
        <v>44</v>
      </c>
      <c r="B490" s="8" t="str">
        <f>"周炎龙"</f>
        <v>周炎龙</v>
      </c>
      <c r="C490" s="8" t="str">
        <f>"341126198806150230"</f>
        <v>341126198806150230</v>
      </c>
      <c r="D490" s="8" t="str">
        <f>"20200301628"</f>
        <v>20200301628</v>
      </c>
      <c r="E490" s="9">
        <v>45.6</v>
      </c>
      <c r="F490" s="9">
        <v>66.5</v>
      </c>
      <c r="G490" s="9">
        <f t="shared" si="7"/>
        <v>112.1</v>
      </c>
      <c r="H490" s="8"/>
    </row>
    <row r="491" spans="1:8" ht="22.5" customHeight="1">
      <c r="A491" s="8" t="s">
        <v>44</v>
      </c>
      <c r="B491" s="8" t="str">
        <f>"王钟"</f>
        <v>王钟</v>
      </c>
      <c r="C491" s="8" t="str">
        <f>"34118219901118423X"</f>
        <v>34118219901118423X</v>
      </c>
      <c r="D491" s="8" t="str">
        <f>"20200301630"</f>
        <v>20200301630</v>
      </c>
      <c r="E491" s="9">
        <v>41.4</v>
      </c>
      <c r="F491" s="9">
        <v>67.5</v>
      </c>
      <c r="G491" s="9">
        <f t="shared" si="7"/>
        <v>108.9</v>
      </c>
      <c r="H491" s="8"/>
    </row>
    <row r="492" spans="1:8" ht="22.5" customHeight="1">
      <c r="A492" s="8" t="s">
        <v>44</v>
      </c>
      <c r="B492" s="8" t="str">
        <f>"宫涛"</f>
        <v>宫涛</v>
      </c>
      <c r="C492" s="8" t="str">
        <f>"341182198607310212"</f>
        <v>341182198607310212</v>
      </c>
      <c r="D492" s="8" t="str">
        <f>"20200301627"</f>
        <v>20200301627</v>
      </c>
      <c r="E492" s="9">
        <v>0</v>
      </c>
      <c r="F492" s="9">
        <v>0</v>
      </c>
      <c r="G492" s="9">
        <f t="shared" si="7"/>
        <v>0</v>
      </c>
      <c r="H492" s="8" t="s">
        <v>10</v>
      </c>
    </row>
    <row r="493" spans="1:8" ht="22.5" customHeight="1">
      <c r="A493" s="8" t="s">
        <v>44</v>
      </c>
      <c r="B493" s="8" t="str">
        <f>"杜克丁"</f>
        <v>杜克丁</v>
      </c>
      <c r="C493" s="8" t="str">
        <f>"341182199103023054"</f>
        <v>341182199103023054</v>
      </c>
      <c r="D493" s="8" t="str">
        <f>"20200301629"</f>
        <v>20200301629</v>
      </c>
      <c r="E493" s="9">
        <v>0</v>
      </c>
      <c r="F493" s="9">
        <v>0</v>
      </c>
      <c r="G493" s="9">
        <f t="shared" si="7"/>
        <v>0</v>
      </c>
      <c r="H493" s="8" t="s">
        <v>10</v>
      </c>
    </row>
    <row r="494" spans="1:8" ht="22.5" customHeight="1">
      <c r="A494" s="8" t="s">
        <v>44</v>
      </c>
      <c r="B494" s="8" t="str">
        <f>"蒋道广"</f>
        <v>蒋道广</v>
      </c>
      <c r="C494" s="8" t="str">
        <f>"341182199210230016"</f>
        <v>341182199210230016</v>
      </c>
      <c r="D494" s="8" t="str">
        <f>"20200301708"</f>
        <v>20200301708</v>
      </c>
      <c r="E494" s="9">
        <v>0</v>
      </c>
      <c r="F494" s="9">
        <v>0</v>
      </c>
      <c r="G494" s="9">
        <f t="shared" si="7"/>
        <v>0</v>
      </c>
      <c r="H494" s="8" t="s">
        <v>10</v>
      </c>
    </row>
    <row r="495" spans="1:8" ht="22.5" customHeight="1">
      <c r="A495" s="8" t="s">
        <v>45</v>
      </c>
      <c r="B495" s="8" t="str">
        <f>"鲁雪林"</f>
        <v>鲁雪林</v>
      </c>
      <c r="C495" s="8" t="str">
        <f>"340322199303187460"</f>
        <v>340322199303187460</v>
      </c>
      <c r="D495" s="8" t="str">
        <f>"20200301715"</f>
        <v>20200301715</v>
      </c>
      <c r="E495" s="9">
        <v>63.4</v>
      </c>
      <c r="F495" s="9">
        <v>75</v>
      </c>
      <c r="G495" s="9">
        <f t="shared" si="7"/>
        <v>138.4</v>
      </c>
      <c r="H495" s="8"/>
    </row>
    <row r="496" spans="1:8" ht="22.5" customHeight="1">
      <c r="A496" s="8" t="s">
        <v>45</v>
      </c>
      <c r="B496" s="8" t="str">
        <f>"王博远"</f>
        <v>王博远</v>
      </c>
      <c r="C496" s="8" t="str">
        <f>"341182199808020611"</f>
        <v>341182199808020611</v>
      </c>
      <c r="D496" s="8" t="str">
        <f>"20200301714"</f>
        <v>20200301714</v>
      </c>
      <c r="E496" s="9">
        <v>62.8</v>
      </c>
      <c r="F496" s="9">
        <v>71</v>
      </c>
      <c r="G496" s="9">
        <f t="shared" si="7"/>
        <v>133.8</v>
      </c>
      <c r="H496" s="8"/>
    </row>
    <row r="497" spans="1:8" ht="22.5" customHeight="1">
      <c r="A497" s="8" t="s">
        <v>45</v>
      </c>
      <c r="B497" s="8" t="str">
        <f>"钱义"</f>
        <v>钱义</v>
      </c>
      <c r="C497" s="8" t="str">
        <f>"340322199509252491"</f>
        <v>340322199509252491</v>
      </c>
      <c r="D497" s="8" t="str">
        <f>"20200301713"</f>
        <v>20200301713</v>
      </c>
      <c r="E497" s="9">
        <v>58.2</v>
      </c>
      <c r="F497" s="9">
        <v>71</v>
      </c>
      <c r="G497" s="9">
        <f t="shared" si="7"/>
        <v>129.2</v>
      </c>
      <c r="H497" s="8"/>
    </row>
    <row r="498" spans="1:8" ht="22.5" customHeight="1">
      <c r="A498" s="8" t="s">
        <v>45</v>
      </c>
      <c r="B498" s="8" t="str">
        <f>"张颖"</f>
        <v>张颖</v>
      </c>
      <c r="C498" s="8" t="str">
        <f>"341102199603160627"</f>
        <v>341102199603160627</v>
      </c>
      <c r="D498" s="8" t="str">
        <f>"20200301716"</f>
        <v>20200301716</v>
      </c>
      <c r="E498" s="9">
        <v>56.1</v>
      </c>
      <c r="F498" s="9">
        <v>69.5</v>
      </c>
      <c r="G498" s="9">
        <f t="shared" si="7"/>
        <v>125.6</v>
      </c>
      <c r="H498" s="8"/>
    </row>
    <row r="499" spans="1:8" ht="22.5" customHeight="1">
      <c r="A499" s="8" t="s">
        <v>45</v>
      </c>
      <c r="B499" s="8" t="str">
        <f>"胡保国"</f>
        <v>胡保国</v>
      </c>
      <c r="C499" s="8" t="str">
        <f>"421182199601015110"</f>
        <v>421182199601015110</v>
      </c>
      <c r="D499" s="8" t="str">
        <f>"20200301717"</f>
        <v>20200301717</v>
      </c>
      <c r="E499" s="9">
        <v>0</v>
      </c>
      <c r="F499" s="9">
        <v>0</v>
      </c>
      <c r="G499" s="9">
        <f t="shared" si="7"/>
        <v>0</v>
      </c>
      <c r="H499" s="8" t="s">
        <v>10</v>
      </c>
    </row>
    <row r="500" spans="1:8" ht="22.5" customHeight="1">
      <c r="A500" s="8" t="s">
        <v>45</v>
      </c>
      <c r="B500" s="8" t="str">
        <f>"赵云"</f>
        <v>赵云</v>
      </c>
      <c r="C500" s="8" t="str">
        <f>"340322199508253011"</f>
        <v>340322199508253011</v>
      </c>
      <c r="D500" s="8" t="str">
        <f>"20200301718"</f>
        <v>20200301718</v>
      </c>
      <c r="E500" s="9">
        <v>0</v>
      </c>
      <c r="F500" s="9">
        <v>0</v>
      </c>
      <c r="G500" s="9">
        <f t="shared" si="7"/>
        <v>0</v>
      </c>
      <c r="H500" s="8" t="s">
        <v>10</v>
      </c>
    </row>
    <row r="501" spans="1:8" ht="22.5" customHeight="1">
      <c r="A501" s="8" t="s">
        <v>46</v>
      </c>
      <c r="B501" s="8" t="str">
        <f>"任宇觐"</f>
        <v>任宇觐</v>
      </c>
      <c r="C501" s="8" t="str">
        <f>"341182199812072414"</f>
        <v>341182199812072414</v>
      </c>
      <c r="D501" s="8" t="str">
        <f>"20200301720"</f>
        <v>20200301720</v>
      </c>
      <c r="E501" s="9">
        <v>66.8</v>
      </c>
      <c r="F501" s="9">
        <v>69</v>
      </c>
      <c r="G501" s="9">
        <f t="shared" si="7"/>
        <v>135.8</v>
      </c>
      <c r="H501" s="8"/>
    </row>
    <row r="502" spans="1:8" ht="22.5" customHeight="1">
      <c r="A502" s="8" t="s">
        <v>46</v>
      </c>
      <c r="B502" s="8" t="str">
        <f>"田子晗"</f>
        <v>田子晗</v>
      </c>
      <c r="C502" s="8" t="str">
        <f>"341127199709225019"</f>
        <v>341127199709225019</v>
      </c>
      <c r="D502" s="8" t="str">
        <f>"20200301719"</f>
        <v>20200301719</v>
      </c>
      <c r="E502" s="9">
        <v>58.8</v>
      </c>
      <c r="F502" s="9">
        <v>67.5</v>
      </c>
      <c r="G502" s="9">
        <f t="shared" si="7"/>
        <v>126.3</v>
      </c>
      <c r="H502" s="8"/>
    </row>
    <row r="503" spans="1:8" ht="22.5" customHeight="1">
      <c r="A503" s="8" t="s">
        <v>46</v>
      </c>
      <c r="B503" s="8" t="str">
        <f>"姚继超"</f>
        <v>姚继超</v>
      </c>
      <c r="C503" s="8" t="str">
        <f>"341182199108013672"</f>
        <v>341182199108013672</v>
      </c>
      <c r="D503" s="8" t="str">
        <f>"20200301722"</f>
        <v>20200301722</v>
      </c>
      <c r="E503" s="9">
        <v>52.2</v>
      </c>
      <c r="F503" s="9">
        <v>66.5</v>
      </c>
      <c r="G503" s="9">
        <f t="shared" si="7"/>
        <v>118.7</v>
      </c>
      <c r="H503" s="8"/>
    </row>
    <row r="504" spans="1:8" ht="22.5" customHeight="1">
      <c r="A504" s="8" t="s">
        <v>46</v>
      </c>
      <c r="B504" s="8" t="str">
        <f>"郭倩"</f>
        <v>郭倩</v>
      </c>
      <c r="C504" s="8" t="str">
        <f>"341182199605181626"</f>
        <v>341182199605181626</v>
      </c>
      <c r="D504" s="8" t="str">
        <f>"20200301721"</f>
        <v>20200301721</v>
      </c>
      <c r="E504" s="9">
        <v>21.3</v>
      </c>
      <c r="F504" s="9">
        <v>66</v>
      </c>
      <c r="G504" s="9">
        <f t="shared" si="7"/>
        <v>87.3</v>
      </c>
      <c r="H504" s="8"/>
    </row>
    <row r="505" spans="1:8" ht="22.5" customHeight="1">
      <c r="A505" s="8" t="s">
        <v>46</v>
      </c>
      <c r="B505" s="8" t="str">
        <f>"刘高远"</f>
        <v>刘高远</v>
      </c>
      <c r="C505" s="8" t="str">
        <f>"340421199406201025"</f>
        <v>340421199406201025</v>
      </c>
      <c r="D505" s="8" t="str">
        <f>"20200301729"</f>
        <v>20200301729</v>
      </c>
      <c r="E505" s="9">
        <v>36</v>
      </c>
      <c r="F505" s="9">
        <v>33</v>
      </c>
      <c r="G505" s="9">
        <f t="shared" si="7"/>
        <v>69</v>
      </c>
      <c r="H505" s="8"/>
    </row>
    <row r="506" spans="1:8" ht="22.5" customHeight="1">
      <c r="A506" s="8" t="s">
        <v>46</v>
      </c>
      <c r="B506" s="8" t="str">
        <f>"张挺"</f>
        <v>张挺</v>
      </c>
      <c r="C506" s="8" t="str">
        <f>"340221199203301578"</f>
        <v>340221199203301578</v>
      </c>
      <c r="D506" s="8" t="str">
        <f>"20200301723"</f>
        <v>20200301723</v>
      </c>
      <c r="E506" s="9">
        <v>0</v>
      </c>
      <c r="F506" s="9">
        <v>0</v>
      </c>
      <c r="G506" s="9">
        <f t="shared" si="7"/>
        <v>0</v>
      </c>
      <c r="H506" s="8" t="s">
        <v>10</v>
      </c>
    </row>
    <row r="507" spans="1:8" ht="22.5" customHeight="1">
      <c r="A507" s="8" t="s">
        <v>46</v>
      </c>
      <c r="B507" s="8" t="str">
        <f>"伏德同"</f>
        <v>伏德同</v>
      </c>
      <c r="C507" s="8" t="str">
        <f>"341182199702153010"</f>
        <v>341182199702153010</v>
      </c>
      <c r="D507" s="8" t="str">
        <f>"20200301724"</f>
        <v>20200301724</v>
      </c>
      <c r="E507" s="9">
        <v>0</v>
      </c>
      <c r="F507" s="9">
        <v>0</v>
      </c>
      <c r="G507" s="9">
        <f t="shared" si="7"/>
        <v>0</v>
      </c>
      <c r="H507" s="8" t="s">
        <v>10</v>
      </c>
    </row>
    <row r="508" spans="1:8" ht="22.5" customHeight="1">
      <c r="A508" s="8" t="s">
        <v>46</v>
      </c>
      <c r="B508" s="8" t="str">
        <f>"孔凡"</f>
        <v>孔凡</v>
      </c>
      <c r="C508" s="8" t="str">
        <f>"341182199705082641"</f>
        <v>341182199705082641</v>
      </c>
      <c r="D508" s="8" t="str">
        <f>"20200301725"</f>
        <v>20200301725</v>
      </c>
      <c r="E508" s="9">
        <v>0</v>
      </c>
      <c r="F508" s="9">
        <v>0</v>
      </c>
      <c r="G508" s="9">
        <f t="shared" si="7"/>
        <v>0</v>
      </c>
      <c r="H508" s="8" t="s">
        <v>10</v>
      </c>
    </row>
    <row r="509" spans="1:8" ht="22.5" customHeight="1">
      <c r="A509" s="8" t="s">
        <v>46</v>
      </c>
      <c r="B509" s="8" t="str">
        <f>"张志成"</f>
        <v>张志成</v>
      </c>
      <c r="C509" s="8" t="str">
        <f>"341127199705050039"</f>
        <v>341127199705050039</v>
      </c>
      <c r="D509" s="8" t="str">
        <f>"20200301726"</f>
        <v>20200301726</v>
      </c>
      <c r="E509" s="9">
        <v>0</v>
      </c>
      <c r="F509" s="9">
        <v>0</v>
      </c>
      <c r="G509" s="9">
        <f t="shared" si="7"/>
        <v>0</v>
      </c>
      <c r="H509" s="8" t="s">
        <v>10</v>
      </c>
    </row>
    <row r="510" spans="1:8" ht="22.5" customHeight="1">
      <c r="A510" s="8" t="s">
        <v>46</v>
      </c>
      <c r="B510" s="8" t="str">
        <f>"王帅"</f>
        <v>王帅</v>
      </c>
      <c r="C510" s="8" t="str">
        <f>"330683199701163816"</f>
        <v>330683199701163816</v>
      </c>
      <c r="D510" s="8" t="str">
        <f>"20200301727"</f>
        <v>20200301727</v>
      </c>
      <c r="E510" s="9">
        <v>0</v>
      </c>
      <c r="F510" s="9">
        <v>0</v>
      </c>
      <c r="G510" s="9">
        <f t="shared" si="7"/>
        <v>0</v>
      </c>
      <c r="H510" s="8" t="s">
        <v>10</v>
      </c>
    </row>
    <row r="511" spans="1:8" ht="22.5" customHeight="1">
      <c r="A511" s="8" t="s">
        <v>46</v>
      </c>
      <c r="B511" s="8" t="str">
        <f>"朱亚鹏"</f>
        <v>朱亚鹏</v>
      </c>
      <c r="C511" s="8" t="str">
        <f>"410122199507071213"</f>
        <v>410122199507071213</v>
      </c>
      <c r="D511" s="8" t="str">
        <f>"20200301728"</f>
        <v>20200301728</v>
      </c>
      <c r="E511" s="9">
        <v>0</v>
      </c>
      <c r="F511" s="9">
        <v>0</v>
      </c>
      <c r="G511" s="9">
        <f t="shared" si="7"/>
        <v>0</v>
      </c>
      <c r="H511" s="8" t="s">
        <v>10</v>
      </c>
    </row>
    <row r="512" spans="1:8" ht="22.5" customHeight="1">
      <c r="A512" s="8" t="s">
        <v>47</v>
      </c>
      <c r="B512" s="8" t="str">
        <f>"辛小年"</f>
        <v>辛小年</v>
      </c>
      <c r="C512" s="8" t="str">
        <f>"34118219930226001X"</f>
        <v>34118219930226001X</v>
      </c>
      <c r="D512" s="8" t="str">
        <f>"20200301804"</f>
        <v>20200301804</v>
      </c>
      <c r="E512" s="9">
        <v>65.7</v>
      </c>
      <c r="F512" s="9">
        <v>73</v>
      </c>
      <c r="G512" s="9">
        <f t="shared" si="7"/>
        <v>138.7</v>
      </c>
      <c r="H512" s="8"/>
    </row>
    <row r="513" spans="1:8" ht="22.5" customHeight="1">
      <c r="A513" s="8" t="s">
        <v>47</v>
      </c>
      <c r="B513" s="8" t="str">
        <f>"仇康"</f>
        <v>仇康</v>
      </c>
      <c r="C513" s="8" t="str">
        <f>"341182199303144416"</f>
        <v>341182199303144416</v>
      </c>
      <c r="D513" s="8" t="str">
        <f>"20200301730"</f>
        <v>20200301730</v>
      </c>
      <c r="E513" s="9">
        <v>67.8</v>
      </c>
      <c r="F513" s="9">
        <v>68.5</v>
      </c>
      <c r="G513" s="9">
        <f t="shared" si="7"/>
        <v>136.3</v>
      </c>
      <c r="H513" s="8"/>
    </row>
    <row r="514" spans="1:8" ht="22.5" customHeight="1">
      <c r="A514" s="8" t="s">
        <v>47</v>
      </c>
      <c r="B514" s="8" t="str">
        <f>"郑众"</f>
        <v>郑众</v>
      </c>
      <c r="C514" s="8" t="str">
        <f>"341125199110208332"</f>
        <v>341125199110208332</v>
      </c>
      <c r="D514" s="8" t="str">
        <f>"20200301805"</f>
        <v>20200301805</v>
      </c>
      <c r="E514" s="9">
        <v>64.1</v>
      </c>
      <c r="F514" s="9">
        <v>66</v>
      </c>
      <c r="G514" s="9">
        <f t="shared" si="7"/>
        <v>130.1</v>
      </c>
      <c r="H514" s="8"/>
    </row>
    <row r="515" spans="1:8" ht="22.5" customHeight="1">
      <c r="A515" s="8" t="s">
        <v>47</v>
      </c>
      <c r="B515" s="8" t="str">
        <f>"孙安乐"</f>
        <v>孙安乐</v>
      </c>
      <c r="C515" s="8" t="str">
        <f>"341182199509301827"</f>
        <v>341182199509301827</v>
      </c>
      <c r="D515" s="8" t="str">
        <f>"20200301802"</f>
        <v>20200301802</v>
      </c>
      <c r="E515" s="9">
        <v>58.1</v>
      </c>
      <c r="F515" s="9">
        <v>68.5</v>
      </c>
      <c r="G515" s="9">
        <f aca="true" t="shared" si="8" ref="G515:G578">E515+F515</f>
        <v>126.6</v>
      </c>
      <c r="H515" s="8"/>
    </row>
    <row r="516" spans="1:8" ht="22.5" customHeight="1">
      <c r="A516" s="8" t="s">
        <v>47</v>
      </c>
      <c r="B516" s="8" t="str">
        <f>"王宝安"</f>
        <v>王宝安</v>
      </c>
      <c r="C516" s="8" t="str">
        <f>"341182198707050219"</f>
        <v>341182198707050219</v>
      </c>
      <c r="D516" s="8" t="str">
        <f>"20200301803"</f>
        <v>20200301803</v>
      </c>
      <c r="E516" s="9">
        <v>52.3</v>
      </c>
      <c r="F516" s="9">
        <v>64.5</v>
      </c>
      <c r="G516" s="9">
        <f t="shared" si="8"/>
        <v>116.8</v>
      </c>
      <c r="H516" s="8"/>
    </row>
    <row r="517" spans="1:8" ht="22.5" customHeight="1">
      <c r="A517" s="8" t="s">
        <v>47</v>
      </c>
      <c r="B517" s="8" t="str">
        <f>"金维伟"</f>
        <v>金维伟</v>
      </c>
      <c r="C517" s="8" t="str">
        <f>"34118219920727021X"</f>
        <v>34118219920727021X</v>
      </c>
      <c r="D517" s="8" t="str">
        <f>"20200301801"</f>
        <v>20200301801</v>
      </c>
      <c r="E517" s="9">
        <v>44.3</v>
      </c>
      <c r="F517" s="9">
        <v>72</v>
      </c>
      <c r="G517" s="9">
        <f t="shared" si="8"/>
        <v>116.3</v>
      </c>
      <c r="H517" s="8"/>
    </row>
    <row r="518" spans="1:8" ht="22.5" customHeight="1">
      <c r="A518" s="8" t="s">
        <v>47</v>
      </c>
      <c r="B518" s="8" t="str">
        <f>"姜东蕾"</f>
        <v>姜东蕾</v>
      </c>
      <c r="C518" s="8" t="str">
        <f>"341126199302076924"</f>
        <v>341126199302076924</v>
      </c>
      <c r="D518" s="8" t="str">
        <f>"20200301806"</f>
        <v>20200301806</v>
      </c>
      <c r="E518" s="9">
        <v>44.4</v>
      </c>
      <c r="F518" s="9">
        <v>0</v>
      </c>
      <c r="G518" s="9">
        <f t="shared" si="8"/>
        <v>44.4</v>
      </c>
      <c r="H518" s="12" t="s">
        <v>28</v>
      </c>
    </row>
    <row r="519" spans="1:8" ht="22.5" customHeight="1">
      <c r="A519" s="8" t="s">
        <v>48</v>
      </c>
      <c r="B519" s="8" t="str">
        <f>"秦晟东"</f>
        <v>秦晟东</v>
      </c>
      <c r="C519" s="8" t="str">
        <f>"341182199612250212"</f>
        <v>341182199612250212</v>
      </c>
      <c r="D519" s="8" t="str">
        <f>"20200301809"</f>
        <v>20200301809</v>
      </c>
      <c r="E519" s="9">
        <v>60.6</v>
      </c>
      <c r="F519" s="9">
        <v>73</v>
      </c>
      <c r="G519" s="9">
        <f t="shared" si="8"/>
        <v>133.6</v>
      </c>
      <c r="H519" s="8"/>
    </row>
    <row r="520" spans="1:8" ht="22.5" customHeight="1">
      <c r="A520" s="8" t="s">
        <v>48</v>
      </c>
      <c r="B520" s="8" t="str">
        <f>"李品琰"</f>
        <v>李品琰</v>
      </c>
      <c r="C520" s="8" t="str">
        <f>"341182199606270217"</f>
        <v>341182199606270217</v>
      </c>
      <c r="D520" s="8" t="str">
        <f>"20200301808"</f>
        <v>20200301808</v>
      </c>
      <c r="E520" s="9">
        <v>56</v>
      </c>
      <c r="F520" s="9">
        <v>72</v>
      </c>
      <c r="G520" s="9">
        <f t="shared" si="8"/>
        <v>128</v>
      </c>
      <c r="H520" s="8"/>
    </row>
    <row r="521" spans="1:8" ht="22.5" customHeight="1">
      <c r="A521" s="8" t="s">
        <v>48</v>
      </c>
      <c r="B521" s="8" t="str">
        <f>"王道乾"</f>
        <v>王道乾</v>
      </c>
      <c r="C521" s="8" t="str">
        <f>"341182199603133233"</f>
        <v>341182199603133233</v>
      </c>
      <c r="D521" s="8" t="str">
        <f>"20200301807"</f>
        <v>20200301807</v>
      </c>
      <c r="E521" s="9">
        <v>47.3</v>
      </c>
      <c r="F521" s="9">
        <v>64.5</v>
      </c>
      <c r="G521" s="9">
        <f t="shared" si="8"/>
        <v>111.8</v>
      </c>
      <c r="H521" s="8"/>
    </row>
    <row r="522" spans="1:8" ht="22.5" customHeight="1">
      <c r="A522" s="8" t="s">
        <v>49</v>
      </c>
      <c r="B522" s="8" t="str">
        <f>"张燕南"</f>
        <v>张燕南</v>
      </c>
      <c r="C522" s="8" t="str">
        <f>"341182199406050017"</f>
        <v>341182199406050017</v>
      </c>
      <c r="D522" s="8" t="str">
        <f>"20200301810"</f>
        <v>20200301810</v>
      </c>
      <c r="E522" s="9">
        <v>56.8</v>
      </c>
      <c r="F522" s="9">
        <v>75.5</v>
      </c>
      <c r="G522" s="9">
        <f t="shared" si="8"/>
        <v>132.3</v>
      </c>
      <c r="H522" s="8"/>
    </row>
    <row r="523" spans="1:8" ht="22.5" customHeight="1">
      <c r="A523" s="8" t="s">
        <v>49</v>
      </c>
      <c r="B523" s="8" t="str">
        <f>"朱雨濛"</f>
        <v>朱雨濛</v>
      </c>
      <c r="C523" s="8" t="str">
        <f>"341182199710310610"</f>
        <v>341182199710310610</v>
      </c>
      <c r="D523" s="8" t="str">
        <f>"20200301811"</f>
        <v>20200301811</v>
      </c>
      <c r="E523" s="9">
        <v>55.4</v>
      </c>
      <c r="F523" s="9">
        <v>72</v>
      </c>
      <c r="G523" s="9">
        <f t="shared" si="8"/>
        <v>127.4</v>
      </c>
      <c r="H523" s="8"/>
    </row>
    <row r="524" spans="1:8" ht="22.5" customHeight="1">
      <c r="A524" s="8" t="s">
        <v>49</v>
      </c>
      <c r="B524" s="8" t="str">
        <f>"周子琦"</f>
        <v>周子琦</v>
      </c>
      <c r="C524" s="8" t="str">
        <f>"342201199606011627"</f>
        <v>342201199606011627</v>
      </c>
      <c r="D524" s="8" t="str">
        <f>"20200301812"</f>
        <v>20200301812</v>
      </c>
      <c r="E524" s="9">
        <v>0</v>
      </c>
      <c r="F524" s="9">
        <v>0</v>
      </c>
      <c r="G524" s="9">
        <f t="shared" si="8"/>
        <v>0</v>
      </c>
      <c r="H524" s="8" t="s">
        <v>10</v>
      </c>
    </row>
    <row r="525" spans="1:8" ht="22.5" customHeight="1">
      <c r="A525" s="8" t="s">
        <v>50</v>
      </c>
      <c r="B525" s="8" t="str">
        <f>"马志鹏"</f>
        <v>马志鹏</v>
      </c>
      <c r="C525" s="8" t="str">
        <f>"341182199608310032"</f>
        <v>341182199608310032</v>
      </c>
      <c r="D525" s="8" t="str">
        <f>"20200301813"</f>
        <v>20200301813</v>
      </c>
      <c r="E525" s="9">
        <v>40.9</v>
      </c>
      <c r="F525" s="9">
        <v>65</v>
      </c>
      <c r="G525" s="9">
        <f t="shared" si="8"/>
        <v>105.9</v>
      </c>
      <c r="H525" s="8"/>
    </row>
    <row r="526" spans="1:8" ht="22.5" customHeight="1">
      <c r="A526" s="8" t="s">
        <v>50</v>
      </c>
      <c r="B526" s="8" t="str">
        <f>"朱晓文"</f>
        <v>朱晓文</v>
      </c>
      <c r="C526" s="8" t="str">
        <f>"341181199703140610"</f>
        <v>341181199703140610</v>
      </c>
      <c r="D526" s="8" t="str">
        <f>"20200301814"</f>
        <v>20200301814</v>
      </c>
      <c r="E526" s="9">
        <v>0</v>
      </c>
      <c r="F526" s="9">
        <v>0</v>
      </c>
      <c r="G526" s="9">
        <f t="shared" si="8"/>
        <v>0</v>
      </c>
      <c r="H526" s="8" t="s">
        <v>10</v>
      </c>
    </row>
    <row r="527" spans="1:8" ht="22.5" customHeight="1">
      <c r="A527" s="8" t="s">
        <v>50</v>
      </c>
      <c r="B527" s="8" t="str">
        <f>"江锐"</f>
        <v>江锐</v>
      </c>
      <c r="C527" s="8" t="str">
        <f>"441481199604240691"</f>
        <v>441481199604240691</v>
      </c>
      <c r="D527" s="8" t="str">
        <f>"20200301815"</f>
        <v>20200301815</v>
      </c>
      <c r="E527" s="9">
        <v>0</v>
      </c>
      <c r="F527" s="9">
        <v>0</v>
      </c>
      <c r="G527" s="9">
        <f t="shared" si="8"/>
        <v>0</v>
      </c>
      <c r="H527" s="8" t="s">
        <v>10</v>
      </c>
    </row>
    <row r="528" spans="1:8" ht="22.5" customHeight="1">
      <c r="A528" s="8" t="s">
        <v>50</v>
      </c>
      <c r="B528" s="8" t="str">
        <f>"陈梦婷"</f>
        <v>陈梦婷</v>
      </c>
      <c r="C528" s="8" t="str">
        <f>"341182199702036420"</f>
        <v>341182199702036420</v>
      </c>
      <c r="D528" s="8" t="str">
        <f>"20200301816"</f>
        <v>20200301816</v>
      </c>
      <c r="E528" s="9">
        <v>0</v>
      </c>
      <c r="F528" s="9">
        <v>0</v>
      </c>
      <c r="G528" s="9">
        <f t="shared" si="8"/>
        <v>0</v>
      </c>
      <c r="H528" s="8" t="s">
        <v>10</v>
      </c>
    </row>
    <row r="529" spans="1:8" ht="22.5" customHeight="1">
      <c r="A529" s="8" t="s">
        <v>50</v>
      </c>
      <c r="B529" s="8" t="str">
        <f>"王柳杨"</f>
        <v>王柳杨</v>
      </c>
      <c r="C529" s="8" t="str">
        <f>"130429199610028778"</f>
        <v>130429199610028778</v>
      </c>
      <c r="D529" s="8" t="str">
        <f>"20200301817"</f>
        <v>20200301817</v>
      </c>
      <c r="E529" s="9">
        <v>0</v>
      </c>
      <c r="F529" s="9">
        <v>0</v>
      </c>
      <c r="G529" s="9">
        <f t="shared" si="8"/>
        <v>0</v>
      </c>
      <c r="H529" s="8" t="s">
        <v>10</v>
      </c>
    </row>
    <row r="530" spans="1:8" ht="22.5" customHeight="1">
      <c r="A530" s="8" t="s">
        <v>50</v>
      </c>
      <c r="B530" s="8" t="str">
        <f>"方维康"</f>
        <v>方维康</v>
      </c>
      <c r="C530" s="8" t="str">
        <f>"420103199801170418"</f>
        <v>420103199801170418</v>
      </c>
      <c r="D530" s="8" t="str">
        <f>"20200301818"</f>
        <v>20200301818</v>
      </c>
      <c r="E530" s="9">
        <v>0</v>
      </c>
      <c r="F530" s="9">
        <v>0</v>
      </c>
      <c r="G530" s="9">
        <f t="shared" si="8"/>
        <v>0</v>
      </c>
      <c r="H530" s="8" t="s">
        <v>10</v>
      </c>
    </row>
    <row r="531" spans="1:8" ht="22.5" customHeight="1">
      <c r="A531" s="8" t="s">
        <v>51</v>
      </c>
      <c r="B531" s="8" t="str">
        <f>"孙炜烔"</f>
        <v>孙炜烔</v>
      </c>
      <c r="C531" s="8" t="str">
        <f>"341182199504292212"</f>
        <v>341182199504292212</v>
      </c>
      <c r="D531" s="8" t="str">
        <f>"20200301906"</f>
        <v>20200301906</v>
      </c>
      <c r="E531" s="9">
        <v>67.8</v>
      </c>
      <c r="F531" s="9">
        <v>74.5</v>
      </c>
      <c r="G531" s="9">
        <f t="shared" si="8"/>
        <v>142.3</v>
      </c>
      <c r="H531" s="8"/>
    </row>
    <row r="532" spans="1:8" ht="22.5" customHeight="1">
      <c r="A532" s="8" t="s">
        <v>51</v>
      </c>
      <c r="B532" s="8" t="str">
        <f>"李元军"</f>
        <v>李元军</v>
      </c>
      <c r="C532" s="8" t="str">
        <f>"340521199503305411"</f>
        <v>340521199503305411</v>
      </c>
      <c r="D532" s="8" t="str">
        <f>"20200301822"</f>
        <v>20200301822</v>
      </c>
      <c r="E532" s="9">
        <v>69.8</v>
      </c>
      <c r="F532" s="9">
        <v>69</v>
      </c>
      <c r="G532" s="9">
        <f t="shared" si="8"/>
        <v>138.8</v>
      </c>
      <c r="H532" s="8"/>
    </row>
    <row r="533" spans="1:8" ht="22.5" customHeight="1">
      <c r="A533" s="8" t="s">
        <v>51</v>
      </c>
      <c r="B533" s="8" t="str">
        <f>"孔洁"</f>
        <v>孔洁</v>
      </c>
      <c r="C533" s="8" t="str">
        <f>"341182199410280421"</f>
        <v>341182199410280421</v>
      </c>
      <c r="D533" s="8" t="str">
        <f>"20200301823"</f>
        <v>20200301823</v>
      </c>
      <c r="E533" s="9">
        <v>68.2</v>
      </c>
      <c r="F533" s="9">
        <v>70</v>
      </c>
      <c r="G533" s="9">
        <f t="shared" si="8"/>
        <v>138.2</v>
      </c>
      <c r="H533" s="8"/>
    </row>
    <row r="534" spans="1:8" ht="22.5" customHeight="1">
      <c r="A534" s="8" t="s">
        <v>51</v>
      </c>
      <c r="B534" s="8" t="str">
        <f>"宗郁"</f>
        <v>宗郁</v>
      </c>
      <c r="C534" s="8" t="str">
        <f>"341182199401180613"</f>
        <v>341182199401180613</v>
      </c>
      <c r="D534" s="8" t="str">
        <f>"20200301910"</f>
        <v>20200301910</v>
      </c>
      <c r="E534" s="9">
        <v>64.6</v>
      </c>
      <c r="F534" s="9">
        <v>73.5</v>
      </c>
      <c r="G534" s="9">
        <f t="shared" si="8"/>
        <v>138.1</v>
      </c>
      <c r="H534" s="8"/>
    </row>
    <row r="535" spans="1:8" ht="22.5" customHeight="1">
      <c r="A535" s="8" t="s">
        <v>51</v>
      </c>
      <c r="B535" s="8" t="str">
        <f>"谢逸飞"</f>
        <v>谢逸飞</v>
      </c>
      <c r="C535" s="8" t="str">
        <f>"341182199004200238"</f>
        <v>341182199004200238</v>
      </c>
      <c r="D535" s="8" t="str">
        <f>"20200301915"</f>
        <v>20200301915</v>
      </c>
      <c r="E535" s="9">
        <v>66.3</v>
      </c>
      <c r="F535" s="9">
        <v>68.5</v>
      </c>
      <c r="G535" s="9">
        <f t="shared" si="8"/>
        <v>134.8</v>
      </c>
      <c r="H535" s="8"/>
    </row>
    <row r="536" spans="1:8" ht="22.5" customHeight="1">
      <c r="A536" s="8" t="s">
        <v>51</v>
      </c>
      <c r="B536" s="8" t="str">
        <f>"王守节"</f>
        <v>王守节</v>
      </c>
      <c r="C536" s="8" t="str">
        <f>"340321199503064696"</f>
        <v>340321199503064696</v>
      </c>
      <c r="D536" s="8" t="str">
        <f>"20200301830"</f>
        <v>20200301830</v>
      </c>
      <c r="E536" s="9">
        <v>63.9</v>
      </c>
      <c r="F536" s="9">
        <v>69.5</v>
      </c>
      <c r="G536" s="9">
        <f t="shared" si="8"/>
        <v>133.4</v>
      </c>
      <c r="H536" s="8"/>
    </row>
    <row r="537" spans="1:8" ht="22.5" customHeight="1">
      <c r="A537" s="8" t="s">
        <v>51</v>
      </c>
      <c r="B537" s="8" t="str">
        <f>"杨乐"</f>
        <v>杨乐</v>
      </c>
      <c r="C537" s="8" t="str">
        <f>"341182199306073617"</f>
        <v>341182199306073617</v>
      </c>
      <c r="D537" s="8" t="str">
        <f>"20200301911"</f>
        <v>20200301911</v>
      </c>
      <c r="E537" s="9">
        <v>61.8</v>
      </c>
      <c r="F537" s="9">
        <v>70.5</v>
      </c>
      <c r="G537" s="9">
        <f t="shared" si="8"/>
        <v>132.3</v>
      </c>
      <c r="H537" s="8"/>
    </row>
    <row r="538" spans="1:8" ht="22.5" customHeight="1">
      <c r="A538" s="8" t="s">
        <v>51</v>
      </c>
      <c r="B538" s="8" t="str">
        <f>"王莉"</f>
        <v>王莉</v>
      </c>
      <c r="C538" s="8" t="str">
        <f>"341182199012090243"</f>
        <v>341182199012090243</v>
      </c>
      <c r="D538" s="8" t="str">
        <f>"20200301918"</f>
        <v>20200301918</v>
      </c>
      <c r="E538" s="9">
        <v>56.5</v>
      </c>
      <c r="F538" s="9">
        <v>73.5</v>
      </c>
      <c r="G538" s="9">
        <f t="shared" si="8"/>
        <v>130</v>
      </c>
      <c r="H538" s="8"/>
    </row>
    <row r="539" spans="1:8" ht="22.5" customHeight="1">
      <c r="A539" s="8" t="s">
        <v>51</v>
      </c>
      <c r="B539" s="8" t="str">
        <f>"裴亮"</f>
        <v>裴亮</v>
      </c>
      <c r="C539" s="8" t="str">
        <f>"342626199205260170"</f>
        <v>342626199205260170</v>
      </c>
      <c r="D539" s="8" t="str">
        <f>"20200301819"</f>
        <v>20200301819</v>
      </c>
      <c r="E539" s="9">
        <v>57.2</v>
      </c>
      <c r="F539" s="9">
        <v>70</v>
      </c>
      <c r="G539" s="9">
        <f t="shared" si="8"/>
        <v>127.2</v>
      </c>
      <c r="H539" s="8"/>
    </row>
    <row r="540" spans="1:8" ht="22.5" customHeight="1">
      <c r="A540" s="8" t="s">
        <v>51</v>
      </c>
      <c r="B540" s="8" t="str">
        <f>"张刘柱"</f>
        <v>张刘柱</v>
      </c>
      <c r="C540" s="8" t="str">
        <f>"340322199405020055"</f>
        <v>340322199405020055</v>
      </c>
      <c r="D540" s="8" t="str">
        <f>"20200301827"</f>
        <v>20200301827</v>
      </c>
      <c r="E540" s="9">
        <v>58.9</v>
      </c>
      <c r="F540" s="9">
        <v>68</v>
      </c>
      <c r="G540" s="9">
        <f t="shared" si="8"/>
        <v>126.9</v>
      </c>
      <c r="H540" s="8"/>
    </row>
    <row r="541" spans="1:8" ht="22.5" customHeight="1">
      <c r="A541" s="8" t="s">
        <v>51</v>
      </c>
      <c r="B541" s="8" t="str">
        <f>"杜睿"</f>
        <v>杜睿</v>
      </c>
      <c r="C541" s="8" t="str">
        <f>"341126199605187728"</f>
        <v>341126199605187728</v>
      </c>
      <c r="D541" s="8" t="str">
        <f>"20200301913"</f>
        <v>20200301913</v>
      </c>
      <c r="E541" s="9">
        <v>50.9</v>
      </c>
      <c r="F541" s="9">
        <v>75</v>
      </c>
      <c r="G541" s="9">
        <f t="shared" si="8"/>
        <v>125.9</v>
      </c>
      <c r="H541" s="8"/>
    </row>
    <row r="542" spans="1:8" ht="22.5" customHeight="1">
      <c r="A542" s="8" t="s">
        <v>51</v>
      </c>
      <c r="B542" s="8" t="str">
        <f>"汪帅"</f>
        <v>汪帅</v>
      </c>
      <c r="C542" s="8" t="str">
        <f>"341126199502281017"</f>
        <v>341126199502281017</v>
      </c>
      <c r="D542" s="8" t="str">
        <f>"20200301824"</f>
        <v>20200301824</v>
      </c>
      <c r="E542" s="9">
        <v>56.9</v>
      </c>
      <c r="F542" s="9">
        <v>67.5</v>
      </c>
      <c r="G542" s="9">
        <f t="shared" si="8"/>
        <v>124.4</v>
      </c>
      <c r="H542" s="8"/>
    </row>
    <row r="543" spans="1:8" ht="22.5" customHeight="1">
      <c r="A543" s="8" t="s">
        <v>51</v>
      </c>
      <c r="B543" s="8" t="str">
        <f>"王琨"</f>
        <v>王琨</v>
      </c>
      <c r="C543" s="8" t="str">
        <f>"320830199301053817"</f>
        <v>320830199301053817</v>
      </c>
      <c r="D543" s="8" t="str">
        <f>"20200301829"</f>
        <v>20200301829</v>
      </c>
      <c r="E543" s="9">
        <v>51.8</v>
      </c>
      <c r="F543" s="9">
        <v>72.5</v>
      </c>
      <c r="G543" s="9">
        <f t="shared" si="8"/>
        <v>124.3</v>
      </c>
      <c r="H543" s="8"/>
    </row>
    <row r="544" spans="1:8" ht="22.5" customHeight="1">
      <c r="A544" s="8" t="s">
        <v>51</v>
      </c>
      <c r="B544" s="8" t="str">
        <f>"邓传义"</f>
        <v>邓传义</v>
      </c>
      <c r="C544" s="8" t="str">
        <f>"341126199204050210"</f>
        <v>341126199204050210</v>
      </c>
      <c r="D544" s="8" t="str">
        <f>"20200301820"</f>
        <v>20200301820</v>
      </c>
      <c r="E544" s="9">
        <v>52.3</v>
      </c>
      <c r="F544" s="9">
        <v>71.5</v>
      </c>
      <c r="G544" s="9">
        <f t="shared" si="8"/>
        <v>123.8</v>
      </c>
      <c r="H544" s="8"/>
    </row>
    <row r="545" spans="1:8" ht="22.5" customHeight="1">
      <c r="A545" s="8" t="s">
        <v>51</v>
      </c>
      <c r="B545" s="8" t="str">
        <f>"张卉"</f>
        <v>张卉</v>
      </c>
      <c r="C545" s="8" t="str">
        <f>"341182199412210224"</f>
        <v>341182199412210224</v>
      </c>
      <c r="D545" s="8" t="str">
        <f>"20200301904"</f>
        <v>20200301904</v>
      </c>
      <c r="E545" s="9">
        <v>56</v>
      </c>
      <c r="F545" s="9">
        <v>67.5</v>
      </c>
      <c r="G545" s="9">
        <f t="shared" si="8"/>
        <v>123.5</v>
      </c>
      <c r="H545" s="8"/>
    </row>
    <row r="546" spans="1:8" ht="22.5" customHeight="1">
      <c r="A546" s="8" t="s">
        <v>51</v>
      </c>
      <c r="B546" s="8" t="str">
        <f>"秦月"</f>
        <v>秦月</v>
      </c>
      <c r="C546" s="8" t="str">
        <f>"341126199209110024"</f>
        <v>341126199209110024</v>
      </c>
      <c r="D546" s="8" t="str">
        <f>"20200301905"</f>
        <v>20200301905</v>
      </c>
      <c r="E546" s="9">
        <v>47.3</v>
      </c>
      <c r="F546" s="9">
        <v>75.5</v>
      </c>
      <c r="G546" s="9">
        <f t="shared" si="8"/>
        <v>122.8</v>
      </c>
      <c r="H546" s="8"/>
    </row>
    <row r="547" spans="1:8" ht="22.5" customHeight="1">
      <c r="A547" s="8" t="s">
        <v>51</v>
      </c>
      <c r="B547" s="8" t="str">
        <f>"杜瑞"</f>
        <v>杜瑞</v>
      </c>
      <c r="C547" s="8" t="str">
        <f>"341182199202200220"</f>
        <v>341182199202200220</v>
      </c>
      <c r="D547" s="8" t="str">
        <f>"20200301909"</f>
        <v>20200301909</v>
      </c>
      <c r="E547" s="9">
        <v>48.2</v>
      </c>
      <c r="F547" s="9">
        <v>71.5</v>
      </c>
      <c r="G547" s="9">
        <f t="shared" si="8"/>
        <v>119.7</v>
      </c>
      <c r="H547" s="8"/>
    </row>
    <row r="548" spans="1:8" ht="22.5" customHeight="1">
      <c r="A548" s="8" t="s">
        <v>51</v>
      </c>
      <c r="B548" s="8" t="str">
        <f>"陈志虎"</f>
        <v>陈志虎</v>
      </c>
      <c r="C548" s="8" t="str">
        <f>"341126199008120410"</f>
        <v>341126199008120410</v>
      </c>
      <c r="D548" s="8" t="str">
        <f>"20200301912"</f>
        <v>20200301912</v>
      </c>
      <c r="E548" s="9">
        <v>54.5</v>
      </c>
      <c r="F548" s="9">
        <v>65</v>
      </c>
      <c r="G548" s="9">
        <f t="shared" si="8"/>
        <v>119.5</v>
      </c>
      <c r="H548" s="8"/>
    </row>
    <row r="549" spans="1:8" ht="22.5" customHeight="1">
      <c r="A549" s="8" t="s">
        <v>51</v>
      </c>
      <c r="B549" s="8" t="str">
        <f>"蔡思寒"</f>
        <v>蔡思寒</v>
      </c>
      <c r="C549" s="8" t="str">
        <f>"341182199710054821"</f>
        <v>341182199710054821</v>
      </c>
      <c r="D549" s="8" t="str">
        <f>"20200301907"</f>
        <v>20200301907</v>
      </c>
      <c r="E549" s="9">
        <v>47.1</v>
      </c>
      <c r="F549" s="9">
        <v>69.5</v>
      </c>
      <c r="G549" s="9">
        <f t="shared" si="8"/>
        <v>116.6</v>
      </c>
      <c r="H549" s="8"/>
    </row>
    <row r="550" spans="1:8" ht="22.5" customHeight="1">
      <c r="A550" s="8" t="s">
        <v>51</v>
      </c>
      <c r="B550" s="8" t="str">
        <f>"张宇"</f>
        <v>张宇</v>
      </c>
      <c r="C550" s="8" t="str">
        <f>"341182199807164226"</f>
        <v>341182199807164226</v>
      </c>
      <c r="D550" s="8" t="str">
        <f>"20200301903"</f>
        <v>20200301903</v>
      </c>
      <c r="E550" s="9">
        <v>48.4</v>
      </c>
      <c r="F550" s="9">
        <v>67</v>
      </c>
      <c r="G550" s="9">
        <f t="shared" si="8"/>
        <v>115.4</v>
      </c>
      <c r="H550" s="8"/>
    </row>
    <row r="551" spans="1:8" ht="22.5" customHeight="1">
      <c r="A551" s="8" t="s">
        <v>51</v>
      </c>
      <c r="B551" s="8" t="str">
        <f>"付雪艳"</f>
        <v>付雪艳</v>
      </c>
      <c r="C551" s="8" t="str">
        <f>"341182199006011289"</f>
        <v>341182199006011289</v>
      </c>
      <c r="D551" s="8" t="str">
        <f>"20200301825"</f>
        <v>20200301825</v>
      </c>
      <c r="E551" s="9">
        <v>41.2</v>
      </c>
      <c r="F551" s="9">
        <v>74</v>
      </c>
      <c r="G551" s="9">
        <f t="shared" si="8"/>
        <v>115.2</v>
      </c>
      <c r="H551" s="8"/>
    </row>
    <row r="552" spans="1:8" ht="22.5" customHeight="1">
      <c r="A552" s="8" t="s">
        <v>51</v>
      </c>
      <c r="B552" s="8" t="str">
        <f>"高强"</f>
        <v>高强</v>
      </c>
      <c r="C552" s="8" t="str">
        <f>"341182199007300613"</f>
        <v>341182199007300613</v>
      </c>
      <c r="D552" s="8" t="str">
        <f>"20200301908"</f>
        <v>20200301908</v>
      </c>
      <c r="E552" s="9">
        <v>45</v>
      </c>
      <c r="F552" s="9">
        <v>70</v>
      </c>
      <c r="G552" s="9">
        <f t="shared" si="8"/>
        <v>115</v>
      </c>
      <c r="H552" s="8"/>
    </row>
    <row r="553" spans="1:8" ht="22.5" customHeight="1">
      <c r="A553" s="8" t="s">
        <v>51</v>
      </c>
      <c r="B553" s="8" t="str">
        <f>"张昊"</f>
        <v>张昊</v>
      </c>
      <c r="C553" s="8" t="str">
        <f>"341126199003146718"</f>
        <v>341126199003146718</v>
      </c>
      <c r="D553" s="8" t="str">
        <f>"20200301828"</f>
        <v>20200301828</v>
      </c>
      <c r="E553" s="9">
        <v>41.5</v>
      </c>
      <c r="F553" s="9">
        <v>70.5</v>
      </c>
      <c r="G553" s="9">
        <f t="shared" si="8"/>
        <v>112</v>
      </c>
      <c r="H553" s="8"/>
    </row>
    <row r="554" spans="1:8" ht="22.5" customHeight="1">
      <c r="A554" s="8" t="s">
        <v>51</v>
      </c>
      <c r="B554" s="8" t="str">
        <f>"李兰海"</f>
        <v>李兰海</v>
      </c>
      <c r="C554" s="8" t="str">
        <f>"341126198909081012"</f>
        <v>341126198909081012</v>
      </c>
      <c r="D554" s="8" t="str">
        <f>"20200301917"</f>
        <v>20200301917</v>
      </c>
      <c r="E554" s="9">
        <v>40.6</v>
      </c>
      <c r="F554" s="9">
        <v>69.5</v>
      </c>
      <c r="G554" s="9">
        <f t="shared" si="8"/>
        <v>110.1</v>
      </c>
      <c r="H554" s="8"/>
    </row>
    <row r="555" spans="1:8" ht="22.5" customHeight="1">
      <c r="A555" s="8" t="s">
        <v>51</v>
      </c>
      <c r="B555" s="8" t="str">
        <f>"马文韬"</f>
        <v>马文韬</v>
      </c>
      <c r="C555" s="8" t="str">
        <f>"341182199603240012"</f>
        <v>341182199603240012</v>
      </c>
      <c r="D555" s="8" t="str">
        <f>"20200301920"</f>
        <v>20200301920</v>
      </c>
      <c r="E555" s="9">
        <v>40</v>
      </c>
      <c r="F555" s="9">
        <v>63</v>
      </c>
      <c r="G555" s="9">
        <f t="shared" si="8"/>
        <v>103</v>
      </c>
      <c r="H555" s="8"/>
    </row>
    <row r="556" spans="1:8" ht="22.5" customHeight="1">
      <c r="A556" s="8" t="s">
        <v>51</v>
      </c>
      <c r="B556" s="8" t="str">
        <f>"姜小亮"</f>
        <v>姜小亮</v>
      </c>
      <c r="C556" s="8" t="str">
        <f>"341125199209087956"</f>
        <v>341125199209087956</v>
      </c>
      <c r="D556" s="8" t="str">
        <f>"20200301919"</f>
        <v>20200301919</v>
      </c>
      <c r="E556" s="9">
        <v>36.3</v>
      </c>
      <c r="F556" s="9">
        <v>66.5</v>
      </c>
      <c r="G556" s="9">
        <f t="shared" si="8"/>
        <v>102.8</v>
      </c>
      <c r="H556" s="8"/>
    </row>
    <row r="557" spans="1:8" ht="22.5" customHeight="1">
      <c r="A557" s="8" t="s">
        <v>51</v>
      </c>
      <c r="B557" s="8" t="str">
        <f>"李小龙"</f>
        <v>李小龙</v>
      </c>
      <c r="C557" s="8" t="str">
        <f>"341126198911300632"</f>
        <v>341126198911300632</v>
      </c>
      <c r="D557" s="8" t="str">
        <f>"20200301922"</f>
        <v>20200301922</v>
      </c>
      <c r="E557" s="9">
        <v>34.4</v>
      </c>
      <c r="F557" s="9">
        <v>66</v>
      </c>
      <c r="G557" s="9">
        <f t="shared" si="8"/>
        <v>100.4</v>
      </c>
      <c r="H557" s="8"/>
    </row>
    <row r="558" spans="1:8" ht="22.5" customHeight="1">
      <c r="A558" s="8" t="s">
        <v>51</v>
      </c>
      <c r="B558" s="8" t="str">
        <f>"程儒杰"</f>
        <v>程儒杰</v>
      </c>
      <c r="C558" s="8" t="str">
        <f>"341182199601011013"</f>
        <v>341182199601011013</v>
      </c>
      <c r="D558" s="8" t="str">
        <f>"20200301901"</f>
        <v>20200301901</v>
      </c>
      <c r="E558" s="9">
        <v>26.9</v>
      </c>
      <c r="F558" s="9">
        <v>0</v>
      </c>
      <c r="G558" s="9">
        <f t="shared" si="8"/>
        <v>26.9</v>
      </c>
      <c r="H558" s="12" t="s">
        <v>28</v>
      </c>
    </row>
    <row r="559" spans="1:8" ht="22.5" customHeight="1">
      <c r="A559" s="8" t="s">
        <v>51</v>
      </c>
      <c r="B559" s="8" t="str">
        <f>"张萌萌"</f>
        <v>张萌萌</v>
      </c>
      <c r="C559" s="8" t="str">
        <f>"340521199501255625"</f>
        <v>340521199501255625</v>
      </c>
      <c r="D559" s="8" t="str">
        <f>"20200301821"</f>
        <v>20200301821</v>
      </c>
      <c r="E559" s="9">
        <v>0</v>
      </c>
      <c r="F559" s="9">
        <v>0</v>
      </c>
      <c r="G559" s="9">
        <f t="shared" si="8"/>
        <v>0</v>
      </c>
      <c r="H559" s="8" t="s">
        <v>10</v>
      </c>
    </row>
    <row r="560" spans="1:8" ht="22.5" customHeight="1">
      <c r="A560" s="8" t="s">
        <v>51</v>
      </c>
      <c r="B560" s="8" t="str">
        <f>"卢陈威"</f>
        <v>卢陈威</v>
      </c>
      <c r="C560" s="8" t="str">
        <f>"340304199207060635"</f>
        <v>340304199207060635</v>
      </c>
      <c r="D560" s="8" t="str">
        <f>"20200301826"</f>
        <v>20200301826</v>
      </c>
      <c r="E560" s="9">
        <v>0</v>
      </c>
      <c r="F560" s="9">
        <v>0</v>
      </c>
      <c r="G560" s="9">
        <f t="shared" si="8"/>
        <v>0</v>
      </c>
      <c r="H560" s="8" t="s">
        <v>10</v>
      </c>
    </row>
    <row r="561" spans="1:8" ht="22.5" customHeight="1">
      <c r="A561" s="8" t="s">
        <v>51</v>
      </c>
      <c r="B561" s="8" t="str">
        <f>"李春节"</f>
        <v>李春节</v>
      </c>
      <c r="C561" s="8" t="str">
        <f>"34112619960204772X"</f>
        <v>34112619960204772X</v>
      </c>
      <c r="D561" s="8" t="str">
        <f>"20200301902"</f>
        <v>20200301902</v>
      </c>
      <c r="E561" s="9">
        <v>0</v>
      </c>
      <c r="F561" s="9">
        <v>0</v>
      </c>
      <c r="G561" s="9">
        <f t="shared" si="8"/>
        <v>0</v>
      </c>
      <c r="H561" s="8" t="s">
        <v>10</v>
      </c>
    </row>
    <row r="562" spans="1:8" ht="22.5" customHeight="1">
      <c r="A562" s="8" t="s">
        <v>51</v>
      </c>
      <c r="B562" s="8" t="str">
        <f>"叶慧子"</f>
        <v>叶慧子</v>
      </c>
      <c r="C562" s="8" t="str">
        <f>"341182199101050024"</f>
        <v>341182199101050024</v>
      </c>
      <c r="D562" s="8" t="str">
        <f>"20200301914"</f>
        <v>20200301914</v>
      </c>
      <c r="E562" s="9">
        <v>0</v>
      </c>
      <c r="F562" s="9">
        <v>0</v>
      </c>
      <c r="G562" s="9">
        <f t="shared" si="8"/>
        <v>0</v>
      </c>
      <c r="H562" s="8" t="s">
        <v>10</v>
      </c>
    </row>
    <row r="563" spans="1:8" ht="22.5" customHeight="1">
      <c r="A563" s="8" t="s">
        <v>51</v>
      </c>
      <c r="B563" s="8" t="str">
        <f>"顾佳"</f>
        <v>顾佳</v>
      </c>
      <c r="C563" s="8" t="str">
        <f>"341182199508280251"</f>
        <v>341182199508280251</v>
      </c>
      <c r="D563" s="8" t="str">
        <f>"20200301916"</f>
        <v>20200301916</v>
      </c>
      <c r="E563" s="9">
        <v>0</v>
      </c>
      <c r="F563" s="9">
        <v>0</v>
      </c>
      <c r="G563" s="9">
        <f t="shared" si="8"/>
        <v>0</v>
      </c>
      <c r="H563" s="8" t="s">
        <v>10</v>
      </c>
    </row>
    <row r="564" spans="1:8" ht="22.5" customHeight="1">
      <c r="A564" s="8" t="s">
        <v>51</v>
      </c>
      <c r="B564" s="8" t="str">
        <f>"张龙龙"</f>
        <v>张龙龙</v>
      </c>
      <c r="C564" s="8" t="str">
        <f>"341221199304095815"</f>
        <v>341221199304095815</v>
      </c>
      <c r="D564" s="8" t="str">
        <f>"20200301921"</f>
        <v>20200301921</v>
      </c>
      <c r="E564" s="9">
        <v>0</v>
      </c>
      <c r="F564" s="9">
        <v>0</v>
      </c>
      <c r="G564" s="9">
        <f t="shared" si="8"/>
        <v>0</v>
      </c>
      <c r="H564" s="8" t="s">
        <v>10</v>
      </c>
    </row>
    <row r="565" spans="1:8" ht="22.5" customHeight="1">
      <c r="A565" s="8" t="s">
        <v>52</v>
      </c>
      <c r="B565" s="8" t="str">
        <f>"周健"</f>
        <v>周健</v>
      </c>
      <c r="C565" s="8" t="str">
        <f>"341182199608183635"</f>
        <v>341182199608183635</v>
      </c>
      <c r="D565" s="8" t="str">
        <f>"20200301930"</f>
        <v>20200301930</v>
      </c>
      <c r="E565" s="9">
        <v>82</v>
      </c>
      <c r="F565" s="9">
        <v>71.5</v>
      </c>
      <c r="G565" s="9">
        <f t="shared" si="8"/>
        <v>153.5</v>
      </c>
      <c r="H565" s="8"/>
    </row>
    <row r="566" spans="1:8" ht="22.5" customHeight="1">
      <c r="A566" s="8" t="s">
        <v>52</v>
      </c>
      <c r="B566" s="8" t="str">
        <f>"鲍玉婉"</f>
        <v>鲍玉婉</v>
      </c>
      <c r="C566" s="8" t="str">
        <f>"341182199705195021"</f>
        <v>341182199705195021</v>
      </c>
      <c r="D566" s="8" t="str">
        <f>"20200301927"</f>
        <v>20200301927</v>
      </c>
      <c r="E566" s="9">
        <v>79.9</v>
      </c>
      <c r="F566" s="9">
        <v>73.5</v>
      </c>
      <c r="G566" s="9">
        <f t="shared" si="8"/>
        <v>153.4</v>
      </c>
      <c r="H566" s="8"/>
    </row>
    <row r="567" spans="1:8" ht="22.5" customHeight="1">
      <c r="A567" s="8" t="s">
        <v>52</v>
      </c>
      <c r="B567" s="8" t="str">
        <f>"林延昌"</f>
        <v>林延昌</v>
      </c>
      <c r="C567" s="8" t="str">
        <f>"341182199604035416"</f>
        <v>341182199604035416</v>
      </c>
      <c r="D567" s="8" t="str">
        <f>"20200301929"</f>
        <v>20200301929</v>
      </c>
      <c r="E567" s="9">
        <v>75.7</v>
      </c>
      <c r="F567" s="9">
        <v>73.5</v>
      </c>
      <c r="G567" s="9">
        <f t="shared" si="8"/>
        <v>149.2</v>
      </c>
      <c r="H567" s="8"/>
    </row>
    <row r="568" spans="1:8" ht="22.5" customHeight="1">
      <c r="A568" s="8" t="s">
        <v>52</v>
      </c>
      <c r="B568" s="8" t="str">
        <f>"干明恒"</f>
        <v>干明恒</v>
      </c>
      <c r="C568" s="8" t="str">
        <f>"341182199807093616"</f>
        <v>341182199807093616</v>
      </c>
      <c r="D568" s="8" t="str">
        <f>"20200301923"</f>
        <v>20200301923</v>
      </c>
      <c r="E568" s="9">
        <v>65.7</v>
      </c>
      <c r="F568" s="9">
        <v>71</v>
      </c>
      <c r="G568" s="9">
        <f t="shared" si="8"/>
        <v>136.7</v>
      </c>
      <c r="H568" s="8"/>
    </row>
    <row r="569" spans="1:8" ht="22.5" customHeight="1">
      <c r="A569" s="8" t="s">
        <v>52</v>
      </c>
      <c r="B569" s="8" t="str">
        <f>"齐长远"</f>
        <v>齐长远</v>
      </c>
      <c r="C569" s="8" t="str">
        <f>"341127199609272432"</f>
        <v>341127199609272432</v>
      </c>
      <c r="D569" s="8" t="str">
        <f>"20200301925"</f>
        <v>20200301925</v>
      </c>
      <c r="E569" s="9">
        <v>64.9</v>
      </c>
      <c r="F569" s="9">
        <v>69.5</v>
      </c>
      <c r="G569" s="9">
        <f t="shared" si="8"/>
        <v>134.4</v>
      </c>
      <c r="H569" s="8"/>
    </row>
    <row r="570" spans="1:8" ht="22.5" customHeight="1">
      <c r="A570" s="8" t="s">
        <v>52</v>
      </c>
      <c r="B570" s="8" t="str">
        <f>"宗归航"</f>
        <v>宗归航</v>
      </c>
      <c r="C570" s="8" t="str">
        <f>"34118119970627741X"</f>
        <v>34118119970627741X</v>
      </c>
      <c r="D570" s="8" t="str">
        <f>"20200302003"</f>
        <v>20200302003</v>
      </c>
      <c r="E570" s="9">
        <v>60.6</v>
      </c>
      <c r="F570" s="9">
        <v>73</v>
      </c>
      <c r="G570" s="9">
        <f t="shared" si="8"/>
        <v>133.6</v>
      </c>
      <c r="H570" s="8"/>
    </row>
    <row r="571" spans="1:8" ht="22.5" customHeight="1">
      <c r="A571" s="8" t="s">
        <v>52</v>
      </c>
      <c r="B571" s="8" t="str">
        <f>"朱东磊"</f>
        <v>朱东磊</v>
      </c>
      <c r="C571" s="8" t="str">
        <f>"34032219950607743X"</f>
        <v>34032219950607743X</v>
      </c>
      <c r="D571" s="8" t="str">
        <f>"20200302001"</f>
        <v>20200302001</v>
      </c>
      <c r="E571" s="9">
        <v>58.7</v>
      </c>
      <c r="F571" s="9">
        <v>73</v>
      </c>
      <c r="G571" s="9">
        <f t="shared" si="8"/>
        <v>131.7</v>
      </c>
      <c r="H571" s="8"/>
    </row>
    <row r="572" spans="1:8" ht="22.5" customHeight="1">
      <c r="A572" s="8" t="s">
        <v>52</v>
      </c>
      <c r="B572" s="8" t="str">
        <f>"孟庆伟"</f>
        <v>孟庆伟</v>
      </c>
      <c r="C572" s="8" t="str">
        <f>"341182199512086419"</f>
        <v>341182199512086419</v>
      </c>
      <c r="D572" s="8" t="str">
        <f>"20200302002"</f>
        <v>20200302002</v>
      </c>
      <c r="E572" s="9">
        <v>56.4</v>
      </c>
      <c r="F572" s="9">
        <v>71</v>
      </c>
      <c r="G572" s="9">
        <f t="shared" si="8"/>
        <v>127.4</v>
      </c>
      <c r="H572" s="8"/>
    </row>
    <row r="573" spans="1:8" ht="22.5" customHeight="1">
      <c r="A573" s="8" t="s">
        <v>52</v>
      </c>
      <c r="B573" s="8" t="str">
        <f>"金孟"</f>
        <v>金孟</v>
      </c>
      <c r="C573" s="8" t="str">
        <f>"341182199805250462"</f>
        <v>341182199805250462</v>
      </c>
      <c r="D573" s="8" t="str">
        <f>"20200302005"</f>
        <v>20200302005</v>
      </c>
      <c r="E573" s="9">
        <v>54.5</v>
      </c>
      <c r="F573" s="9">
        <v>72</v>
      </c>
      <c r="G573" s="9">
        <f t="shared" si="8"/>
        <v>126.5</v>
      </c>
      <c r="H573" s="8"/>
    </row>
    <row r="574" spans="1:8" ht="22.5" customHeight="1">
      <c r="A574" s="8" t="s">
        <v>52</v>
      </c>
      <c r="B574" s="8" t="str">
        <f>"刁梦竹"</f>
        <v>刁梦竹</v>
      </c>
      <c r="C574" s="8" t="str">
        <f>"341182199709273023"</f>
        <v>341182199709273023</v>
      </c>
      <c r="D574" s="8" t="str">
        <f>"20200302004"</f>
        <v>20200302004</v>
      </c>
      <c r="E574" s="9">
        <v>50.1</v>
      </c>
      <c r="F574" s="9">
        <v>75.5</v>
      </c>
      <c r="G574" s="9">
        <f t="shared" si="8"/>
        <v>125.6</v>
      </c>
      <c r="H574" s="8"/>
    </row>
    <row r="575" spans="1:8" ht="22.5" customHeight="1">
      <c r="A575" s="8" t="s">
        <v>52</v>
      </c>
      <c r="B575" s="8" t="str">
        <f>"钟兰旭"</f>
        <v>钟兰旭</v>
      </c>
      <c r="C575" s="8" t="str">
        <f>"341127199503284216"</f>
        <v>341127199503284216</v>
      </c>
      <c r="D575" s="8" t="str">
        <f>"20200302006"</f>
        <v>20200302006</v>
      </c>
      <c r="E575" s="9">
        <v>55.5</v>
      </c>
      <c r="F575" s="9">
        <v>69.5</v>
      </c>
      <c r="G575" s="9">
        <f t="shared" si="8"/>
        <v>125</v>
      </c>
      <c r="H575" s="8"/>
    </row>
    <row r="576" spans="1:8" ht="22.5" customHeight="1">
      <c r="A576" s="8" t="s">
        <v>52</v>
      </c>
      <c r="B576" s="8" t="str">
        <f>"陈凯"</f>
        <v>陈凯</v>
      </c>
      <c r="C576" s="8" t="str">
        <f>"341182199710164633"</f>
        <v>341182199710164633</v>
      </c>
      <c r="D576" s="8" t="str">
        <f>"20200301926"</f>
        <v>20200301926</v>
      </c>
      <c r="E576" s="9">
        <v>49.4</v>
      </c>
      <c r="F576" s="9">
        <v>68</v>
      </c>
      <c r="G576" s="9">
        <f t="shared" si="8"/>
        <v>117.4</v>
      </c>
      <c r="H576" s="8"/>
    </row>
    <row r="577" spans="1:8" ht="22.5" customHeight="1">
      <c r="A577" s="8" t="s">
        <v>52</v>
      </c>
      <c r="B577" s="8" t="str">
        <f>"马莹莹"</f>
        <v>马莹莹</v>
      </c>
      <c r="C577" s="8" t="str">
        <f>"341126199806206227"</f>
        <v>341126199806206227</v>
      </c>
      <c r="D577" s="8" t="str">
        <f>"20200301924"</f>
        <v>20200301924</v>
      </c>
      <c r="E577" s="9">
        <v>0</v>
      </c>
      <c r="F577" s="9">
        <v>0</v>
      </c>
      <c r="G577" s="9">
        <f t="shared" si="8"/>
        <v>0</v>
      </c>
      <c r="H577" s="8" t="s">
        <v>10</v>
      </c>
    </row>
    <row r="578" spans="1:8" ht="22.5" customHeight="1">
      <c r="A578" s="8" t="s">
        <v>52</v>
      </c>
      <c r="B578" s="8" t="str">
        <f>"李和星"</f>
        <v>李和星</v>
      </c>
      <c r="C578" s="8" t="str">
        <f>"341182199709290456"</f>
        <v>341182199709290456</v>
      </c>
      <c r="D578" s="8" t="str">
        <f>"20200301928"</f>
        <v>20200301928</v>
      </c>
      <c r="E578" s="9">
        <v>0</v>
      </c>
      <c r="F578" s="9">
        <v>0</v>
      </c>
      <c r="G578" s="9">
        <f t="shared" si="8"/>
        <v>0</v>
      </c>
      <c r="H578" s="8" t="s">
        <v>10</v>
      </c>
    </row>
    <row r="579" spans="1:8" ht="22.5" customHeight="1">
      <c r="A579" s="8" t="s">
        <v>53</v>
      </c>
      <c r="B579" s="8" t="str">
        <f>"许杰"</f>
        <v>许杰</v>
      </c>
      <c r="C579" s="8" t="str">
        <f>"342622199301047542"</f>
        <v>342622199301047542</v>
      </c>
      <c r="D579" s="8" t="str">
        <f>"20200302007"</f>
        <v>20200302007</v>
      </c>
      <c r="E579" s="9">
        <v>72.6</v>
      </c>
      <c r="F579" s="9">
        <v>71</v>
      </c>
      <c r="G579" s="9">
        <f aca="true" t="shared" si="9" ref="G579:G642">E579+F579</f>
        <v>143.6</v>
      </c>
      <c r="H579" s="8"/>
    </row>
    <row r="580" spans="1:8" ht="22.5" customHeight="1">
      <c r="A580" s="8" t="s">
        <v>53</v>
      </c>
      <c r="B580" s="8" t="str">
        <f>"曹秀鹏"</f>
        <v>曹秀鹏</v>
      </c>
      <c r="C580" s="8" t="str">
        <f>"341125199608183814"</f>
        <v>341125199608183814</v>
      </c>
      <c r="D580" s="8" t="str">
        <f>"20200302010"</f>
        <v>20200302010</v>
      </c>
      <c r="E580" s="9">
        <v>60.3</v>
      </c>
      <c r="F580" s="9">
        <v>72.5</v>
      </c>
      <c r="G580" s="9">
        <f t="shared" si="9"/>
        <v>132.8</v>
      </c>
      <c r="H580" s="8"/>
    </row>
    <row r="581" spans="1:8" ht="22.5" customHeight="1">
      <c r="A581" s="8" t="s">
        <v>53</v>
      </c>
      <c r="B581" s="8" t="str">
        <f>"赵罕"</f>
        <v>赵罕</v>
      </c>
      <c r="C581" s="8" t="str">
        <f>"341125199108053458"</f>
        <v>341125199108053458</v>
      </c>
      <c r="D581" s="8" t="str">
        <f>"20200302008"</f>
        <v>20200302008</v>
      </c>
      <c r="E581" s="9">
        <v>58.4</v>
      </c>
      <c r="F581" s="9">
        <v>71</v>
      </c>
      <c r="G581" s="9">
        <f t="shared" si="9"/>
        <v>129.4</v>
      </c>
      <c r="H581" s="8"/>
    </row>
    <row r="582" spans="1:8" ht="22.5" customHeight="1">
      <c r="A582" s="8" t="s">
        <v>53</v>
      </c>
      <c r="B582" s="8" t="str">
        <f>"李小宇"</f>
        <v>李小宇</v>
      </c>
      <c r="C582" s="8" t="str">
        <f>"341182199501290617"</f>
        <v>341182199501290617</v>
      </c>
      <c r="D582" s="8" t="str">
        <f>"20200302013"</f>
        <v>20200302013</v>
      </c>
      <c r="E582" s="9">
        <v>59.5</v>
      </c>
      <c r="F582" s="9">
        <v>67.5</v>
      </c>
      <c r="G582" s="9">
        <f t="shared" si="9"/>
        <v>127</v>
      </c>
      <c r="H582" s="8"/>
    </row>
    <row r="583" spans="1:8" ht="22.5" customHeight="1">
      <c r="A583" s="8" t="s">
        <v>53</v>
      </c>
      <c r="B583" s="8" t="str">
        <f>"戴其爱"</f>
        <v>戴其爱</v>
      </c>
      <c r="C583" s="8" t="str">
        <f>"341182199002021877"</f>
        <v>341182199002021877</v>
      </c>
      <c r="D583" s="8" t="str">
        <f>"20200302012"</f>
        <v>20200302012</v>
      </c>
      <c r="E583" s="9">
        <v>49.7</v>
      </c>
      <c r="F583" s="9">
        <v>68.5</v>
      </c>
      <c r="G583" s="9">
        <f t="shared" si="9"/>
        <v>118.2</v>
      </c>
      <c r="H583" s="8"/>
    </row>
    <row r="584" spans="1:8" ht="22.5" customHeight="1">
      <c r="A584" s="8" t="s">
        <v>53</v>
      </c>
      <c r="B584" s="8" t="str">
        <f>"戴基涵"</f>
        <v>戴基涵</v>
      </c>
      <c r="C584" s="8" t="str">
        <f>"34118219960110202X"</f>
        <v>34118219960110202X</v>
      </c>
      <c r="D584" s="8" t="str">
        <f>"20200302011"</f>
        <v>20200302011</v>
      </c>
      <c r="E584" s="9">
        <v>45.2</v>
      </c>
      <c r="F584" s="9">
        <v>71</v>
      </c>
      <c r="G584" s="9">
        <f t="shared" si="9"/>
        <v>116.2</v>
      </c>
      <c r="H584" s="8"/>
    </row>
    <row r="585" spans="1:8" ht="22.5" customHeight="1">
      <c r="A585" s="8" t="s">
        <v>53</v>
      </c>
      <c r="B585" s="8" t="str">
        <f>"高雪伟"</f>
        <v>高雪伟</v>
      </c>
      <c r="C585" s="8" t="str">
        <f>"341182198709261634"</f>
        <v>341182198709261634</v>
      </c>
      <c r="D585" s="8" t="str">
        <f>"20200302009"</f>
        <v>20200302009</v>
      </c>
      <c r="E585" s="9">
        <v>0</v>
      </c>
      <c r="F585" s="9">
        <v>0</v>
      </c>
      <c r="G585" s="9">
        <f t="shared" si="9"/>
        <v>0</v>
      </c>
      <c r="H585" s="8" t="s">
        <v>10</v>
      </c>
    </row>
    <row r="586" spans="1:8" ht="22.5" customHeight="1">
      <c r="A586" s="8" t="s">
        <v>54</v>
      </c>
      <c r="B586" s="8" t="str">
        <f>"蒋羽"</f>
        <v>蒋羽</v>
      </c>
      <c r="C586" s="8" t="str">
        <f>"341182199808300429"</f>
        <v>341182199808300429</v>
      </c>
      <c r="D586" s="8" t="str">
        <f>"20200302016"</f>
        <v>20200302016</v>
      </c>
      <c r="E586" s="9">
        <v>62.7</v>
      </c>
      <c r="F586" s="9">
        <v>74</v>
      </c>
      <c r="G586" s="9">
        <f t="shared" si="9"/>
        <v>136.7</v>
      </c>
      <c r="H586" s="8"/>
    </row>
    <row r="587" spans="1:8" ht="22.5" customHeight="1">
      <c r="A587" s="8" t="s">
        <v>54</v>
      </c>
      <c r="B587" s="8" t="str">
        <f>"杨利玲"</f>
        <v>杨利玲</v>
      </c>
      <c r="C587" s="8" t="str">
        <f>"341182199604042640"</f>
        <v>341182199604042640</v>
      </c>
      <c r="D587" s="8" t="str">
        <f>"20200302018"</f>
        <v>20200302018</v>
      </c>
      <c r="E587" s="9">
        <v>60.8</v>
      </c>
      <c r="F587" s="9">
        <v>73</v>
      </c>
      <c r="G587" s="9">
        <f t="shared" si="9"/>
        <v>133.8</v>
      </c>
      <c r="H587" s="8"/>
    </row>
    <row r="588" spans="1:8" ht="22.5" customHeight="1">
      <c r="A588" s="8" t="s">
        <v>54</v>
      </c>
      <c r="B588" s="8" t="str">
        <f>"桑蓝庆"</f>
        <v>桑蓝庆</v>
      </c>
      <c r="C588" s="8" t="str">
        <f>"341182199407022026"</f>
        <v>341182199407022026</v>
      </c>
      <c r="D588" s="8" t="str">
        <f>"20200302020"</f>
        <v>20200302020</v>
      </c>
      <c r="E588" s="9">
        <v>59.6</v>
      </c>
      <c r="F588" s="9">
        <v>73</v>
      </c>
      <c r="G588" s="9">
        <f t="shared" si="9"/>
        <v>132.6</v>
      </c>
      <c r="H588" s="8"/>
    </row>
    <row r="589" spans="1:8" ht="22.5" customHeight="1">
      <c r="A589" s="8" t="s">
        <v>54</v>
      </c>
      <c r="B589" s="8" t="str">
        <f>"李如"</f>
        <v>李如</v>
      </c>
      <c r="C589" s="8" t="str">
        <f>"341182199808264624"</f>
        <v>341182199808264624</v>
      </c>
      <c r="D589" s="8" t="str">
        <f>"20200302021"</f>
        <v>20200302021</v>
      </c>
      <c r="E589" s="9">
        <v>55.6</v>
      </c>
      <c r="F589" s="9">
        <v>72</v>
      </c>
      <c r="G589" s="9">
        <f t="shared" si="9"/>
        <v>127.6</v>
      </c>
      <c r="H589" s="8"/>
    </row>
    <row r="590" spans="1:8" ht="22.5" customHeight="1">
      <c r="A590" s="8" t="s">
        <v>54</v>
      </c>
      <c r="B590" s="8" t="str">
        <f>"张甜"</f>
        <v>张甜</v>
      </c>
      <c r="C590" s="8" t="str">
        <f>"340311199502141423"</f>
        <v>340311199502141423</v>
      </c>
      <c r="D590" s="8" t="str">
        <f>"20200302014"</f>
        <v>20200302014</v>
      </c>
      <c r="E590" s="9">
        <v>56.1</v>
      </c>
      <c r="F590" s="9">
        <v>69.5</v>
      </c>
      <c r="G590" s="9">
        <f t="shared" si="9"/>
        <v>125.6</v>
      </c>
      <c r="H590" s="8"/>
    </row>
    <row r="591" spans="1:8" ht="22.5" customHeight="1">
      <c r="A591" s="8" t="s">
        <v>54</v>
      </c>
      <c r="B591" s="8" t="str">
        <f>"丁志风"</f>
        <v>丁志风</v>
      </c>
      <c r="C591" s="8" t="str">
        <f>"341182199701183621"</f>
        <v>341182199701183621</v>
      </c>
      <c r="D591" s="8" t="str">
        <f>"20200302019"</f>
        <v>20200302019</v>
      </c>
      <c r="E591" s="9">
        <v>54.4</v>
      </c>
      <c r="F591" s="9">
        <v>70.5</v>
      </c>
      <c r="G591" s="9">
        <f t="shared" si="9"/>
        <v>124.9</v>
      </c>
      <c r="H591" s="8"/>
    </row>
    <row r="592" spans="1:8" ht="22.5" customHeight="1">
      <c r="A592" s="8" t="s">
        <v>54</v>
      </c>
      <c r="B592" s="8" t="str">
        <f>"姚康"</f>
        <v>姚康</v>
      </c>
      <c r="C592" s="8" t="str">
        <f>"341182199805112238"</f>
        <v>341182199805112238</v>
      </c>
      <c r="D592" s="8" t="str">
        <f>"20200302015"</f>
        <v>20200302015</v>
      </c>
      <c r="E592" s="9">
        <v>44.6</v>
      </c>
      <c r="F592" s="9">
        <v>74.5</v>
      </c>
      <c r="G592" s="9">
        <f t="shared" si="9"/>
        <v>119.1</v>
      </c>
      <c r="H592" s="8"/>
    </row>
    <row r="593" spans="1:8" ht="22.5" customHeight="1">
      <c r="A593" s="8" t="s">
        <v>54</v>
      </c>
      <c r="B593" s="8" t="str">
        <f>"杜传娟"</f>
        <v>杜传娟</v>
      </c>
      <c r="C593" s="8" t="str">
        <f>"341182199802083822"</f>
        <v>341182199802083822</v>
      </c>
      <c r="D593" s="8" t="str">
        <f>"20200302017"</f>
        <v>20200302017</v>
      </c>
      <c r="E593" s="9">
        <v>48.7</v>
      </c>
      <c r="F593" s="9">
        <v>64</v>
      </c>
      <c r="G593" s="9">
        <f t="shared" si="9"/>
        <v>112.7</v>
      </c>
      <c r="H593" s="8"/>
    </row>
    <row r="594" spans="1:8" ht="22.5" customHeight="1">
      <c r="A594" s="8" t="s">
        <v>54</v>
      </c>
      <c r="B594" s="8" t="str">
        <f>"武倩文"</f>
        <v>武倩文</v>
      </c>
      <c r="C594" s="8" t="str">
        <f>"341127199601285626"</f>
        <v>341127199601285626</v>
      </c>
      <c r="D594" s="8" t="str">
        <f>"20200302022"</f>
        <v>20200302022</v>
      </c>
      <c r="E594" s="9">
        <v>0</v>
      </c>
      <c r="F594" s="9">
        <v>0</v>
      </c>
      <c r="G594" s="9">
        <f t="shared" si="9"/>
        <v>0</v>
      </c>
      <c r="H594" s="8" t="s">
        <v>10</v>
      </c>
    </row>
    <row r="595" spans="1:8" ht="22.5" customHeight="1">
      <c r="A595" s="8" t="s">
        <v>55</v>
      </c>
      <c r="B595" s="8" t="str">
        <f>"刘子豪"</f>
        <v>刘子豪</v>
      </c>
      <c r="C595" s="8" t="str">
        <f>"341182199709060618"</f>
        <v>341182199709060618</v>
      </c>
      <c r="D595" s="8" t="str">
        <f>"20200302024"</f>
        <v>20200302024</v>
      </c>
      <c r="E595" s="9">
        <v>62</v>
      </c>
      <c r="F595" s="9">
        <v>69</v>
      </c>
      <c r="G595" s="9">
        <f t="shared" si="9"/>
        <v>131</v>
      </c>
      <c r="H595" s="8"/>
    </row>
    <row r="596" spans="1:8" ht="22.5" customHeight="1">
      <c r="A596" s="8" t="s">
        <v>55</v>
      </c>
      <c r="B596" s="8" t="str">
        <f>"李芮"</f>
        <v>李芮</v>
      </c>
      <c r="C596" s="8" t="str">
        <f>"341182199801050228"</f>
        <v>341182199801050228</v>
      </c>
      <c r="D596" s="8" t="str">
        <f>"20200302026"</f>
        <v>20200302026</v>
      </c>
      <c r="E596" s="9">
        <v>57.3</v>
      </c>
      <c r="F596" s="9">
        <v>71.5</v>
      </c>
      <c r="G596" s="9">
        <f t="shared" si="9"/>
        <v>128.8</v>
      </c>
      <c r="H596" s="8"/>
    </row>
    <row r="597" spans="1:8" ht="22.5" customHeight="1">
      <c r="A597" s="8" t="s">
        <v>55</v>
      </c>
      <c r="B597" s="8" t="str">
        <f>"钟峰"</f>
        <v>钟峰</v>
      </c>
      <c r="C597" s="8" t="str">
        <f>"341182199610023219"</f>
        <v>341182199610023219</v>
      </c>
      <c r="D597" s="8" t="str">
        <f>"20200302025"</f>
        <v>20200302025</v>
      </c>
      <c r="E597" s="9">
        <v>52.9</v>
      </c>
      <c r="F597" s="9">
        <v>66.5</v>
      </c>
      <c r="G597" s="9">
        <f t="shared" si="9"/>
        <v>119.4</v>
      </c>
      <c r="H597" s="8"/>
    </row>
    <row r="598" spans="1:8" ht="22.5" customHeight="1">
      <c r="A598" s="8" t="s">
        <v>55</v>
      </c>
      <c r="B598" s="8" t="str">
        <f>"赵严"</f>
        <v>赵严</v>
      </c>
      <c r="C598" s="8" t="str">
        <f>"341182199701163815"</f>
        <v>341182199701163815</v>
      </c>
      <c r="D598" s="8" t="str">
        <f>"20200302027"</f>
        <v>20200302027</v>
      </c>
      <c r="E598" s="9">
        <v>42.4</v>
      </c>
      <c r="F598" s="9">
        <v>74</v>
      </c>
      <c r="G598" s="9">
        <f t="shared" si="9"/>
        <v>116.4</v>
      </c>
      <c r="H598" s="8"/>
    </row>
    <row r="599" spans="1:8" ht="22.5" customHeight="1">
      <c r="A599" s="8" t="s">
        <v>55</v>
      </c>
      <c r="B599" s="8" t="str">
        <f>"龚加磊"</f>
        <v>龚加磊</v>
      </c>
      <c r="C599" s="8" t="str">
        <f>"341182199509091815"</f>
        <v>341182199509091815</v>
      </c>
      <c r="D599" s="8" t="str">
        <f>"20200302023"</f>
        <v>20200302023</v>
      </c>
      <c r="E599" s="9">
        <v>43.9</v>
      </c>
      <c r="F599" s="9">
        <v>67</v>
      </c>
      <c r="G599" s="9">
        <f t="shared" si="9"/>
        <v>110.9</v>
      </c>
      <c r="H599" s="8"/>
    </row>
    <row r="600" spans="1:8" ht="22.5" customHeight="1">
      <c r="A600" s="8" t="s">
        <v>56</v>
      </c>
      <c r="B600" s="8" t="str">
        <f>"刘浩楠"</f>
        <v>刘浩楠</v>
      </c>
      <c r="C600" s="8" t="str">
        <f>"341182199311200051"</f>
        <v>341182199311200051</v>
      </c>
      <c r="D600" s="8" t="str">
        <f>"20200302108"</f>
        <v>20200302108</v>
      </c>
      <c r="E600" s="9">
        <v>74.7</v>
      </c>
      <c r="F600" s="9">
        <v>72.5</v>
      </c>
      <c r="G600" s="9">
        <f t="shared" si="9"/>
        <v>147.2</v>
      </c>
      <c r="H600" s="8"/>
    </row>
    <row r="601" spans="1:8" ht="22.5" customHeight="1">
      <c r="A601" s="8" t="s">
        <v>56</v>
      </c>
      <c r="B601" s="8" t="str">
        <f>"花玉洁"</f>
        <v>花玉洁</v>
      </c>
      <c r="C601" s="8" t="str">
        <f>"341182199412231025"</f>
        <v>341182199412231025</v>
      </c>
      <c r="D601" s="8" t="str">
        <f>"20200302109"</f>
        <v>20200302109</v>
      </c>
      <c r="E601" s="9">
        <v>69.4</v>
      </c>
      <c r="F601" s="9">
        <v>72.5</v>
      </c>
      <c r="G601" s="9">
        <f t="shared" si="9"/>
        <v>141.9</v>
      </c>
      <c r="H601" s="8"/>
    </row>
    <row r="602" spans="1:8" ht="22.5" customHeight="1">
      <c r="A602" s="8" t="s">
        <v>56</v>
      </c>
      <c r="B602" s="8" t="str">
        <f>"刘孝雯"</f>
        <v>刘孝雯</v>
      </c>
      <c r="C602" s="8" t="str">
        <f>"341182199108150220"</f>
        <v>341182199108150220</v>
      </c>
      <c r="D602" s="8" t="str">
        <f>"20200302105"</f>
        <v>20200302105</v>
      </c>
      <c r="E602" s="9">
        <v>67.7</v>
      </c>
      <c r="F602" s="9">
        <v>71.5</v>
      </c>
      <c r="G602" s="9">
        <f t="shared" si="9"/>
        <v>139.2</v>
      </c>
      <c r="H602" s="8"/>
    </row>
    <row r="603" spans="1:8" ht="22.5" customHeight="1">
      <c r="A603" s="8" t="s">
        <v>56</v>
      </c>
      <c r="B603" s="8" t="str">
        <f>"毕超"</f>
        <v>毕超</v>
      </c>
      <c r="C603" s="8" t="str">
        <f>"341182199307100015"</f>
        <v>341182199307100015</v>
      </c>
      <c r="D603" s="8" t="str">
        <f>"20200302106"</f>
        <v>20200302106</v>
      </c>
      <c r="E603" s="9">
        <v>64</v>
      </c>
      <c r="F603" s="9">
        <v>74</v>
      </c>
      <c r="G603" s="9">
        <f t="shared" si="9"/>
        <v>138</v>
      </c>
      <c r="H603" s="8"/>
    </row>
    <row r="604" spans="1:8" ht="22.5" customHeight="1">
      <c r="A604" s="8" t="s">
        <v>56</v>
      </c>
      <c r="B604" s="8" t="str">
        <f>"王思泽"</f>
        <v>王思泽</v>
      </c>
      <c r="C604" s="8" t="str">
        <f>"341127199512080039"</f>
        <v>341127199512080039</v>
      </c>
      <c r="D604" s="8" t="str">
        <f>"20200302102"</f>
        <v>20200302102</v>
      </c>
      <c r="E604" s="9">
        <v>57.3</v>
      </c>
      <c r="F604" s="9">
        <v>70.5</v>
      </c>
      <c r="G604" s="9">
        <f t="shared" si="9"/>
        <v>127.8</v>
      </c>
      <c r="H604" s="8"/>
    </row>
    <row r="605" spans="1:8" ht="22.5" customHeight="1">
      <c r="A605" s="8" t="s">
        <v>56</v>
      </c>
      <c r="B605" s="8" t="str">
        <f>"陈光"</f>
        <v>陈光</v>
      </c>
      <c r="C605" s="8" t="str">
        <f>"34032219911024203X"</f>
        <v>34032219911024203X</v>
      </c>
      <c r="D605" s="8" t="str">
        <f>"20200302117"</f>
        <v>20200302117</v>
      </c>
      <c r="E605" s="9">
        <v>55.3</v>
      </c>
      <c r="F605" s="9">
        <v>72.5</v>
      </c>
      <c r="G605" s="9">
        <f t="shared" si="9"/>
        <v>127.8</v>
      </c>
      <c r="H605" s="8"/>
    </row>
    <row r="606" spans="1:8" ht="22.5" customHeight="1">
      <c r="A606" s="8" t="s">
        <v>56</v>
      </c>
      <c r="B606" s="8" t="str">
        <f>"鲁少东"</f>
        <v>鲁少东</v>
      </c>
      <c r="C606" s="8" t="str">
        <f>"341182199407206212"</f>
        <v>341182199407206212</v>
      </c>
      <c r="D606" s="8" t="str">
        <f>"20200302029"</f>
        <v>20200302029</v>
      </c>
      <c r="E606" s="9">
        <v>54.7</v>
      </c>
      <c r="F606" s="9">
        <v>69.5</v>
      </c>
      <c r="G606" s="9">
        <f t="shared" si="9"/>
        <v>124.2</v>
      </c>
      <c r="H606" s="8"/>
    </row>
    <row r="607" spans="1:8" ht="22.5" customHeight="1">
      <c r="A607" s="8" t="s">
        <v>56</v>
      </c>
      <c r="B607" s="8" t="str">
        <f>"王凯"</f>
        <v>王凯</v>
      </c>
      <c r="C607" s="8" t="str">
        <f>"341182199307150012"</f>
        <v>341182199307150012</v>
      </c>
      <c r="D607" s="8" t="str">
        <f>"20200302112"</f>
        <v>20200302112</v>
      </c>
      <c r="E607" s="9">
        <v>54.7</v>
      </c>
      <c r="F607" s="9">
        <v>69</v>
      </c>
      <c r="G607" s="9">
        <f t="shared" si="9"/>
        <v>123.7</v>
      </c>
      <c r="H607" s="8"/>
    </row>
    <row r="608" spans="1:8" ht="22.5" customHeight="1">
      <c r="A608" s="8" t="s">
        <v>56</v>
      </c>
      <c r="B608" s="8" t="str">
        <f>"王暑楠"</f>
        <v>王暑楠</v>
      </c>
      <c r="C608" s="8" t="str">
        <f>"341182199007210634"</f>
        <v>341182199007210634</v>
      </c>
      <c r="D608" s="8" t="str">
        <f>"20200302103"</f>
        <v>20200302103</v>
      </c>
      <c r="E608" s="9">
        <v>49.4</v>
      </c>
      <c r="F608" s="9">
        <v>70.5</v>
      </c>
      <c r="G608" s="9">
        <f t="shared" si="9"/>
        <v>119.9</v>
      </c>
      <c r="H608" s="8"/>
    </row>
    <row r="609" spans="1:8" ht="22.5" customHeight="1">
      <c r="A609" s="8" t="s">
        <v>56</v>
      </c>
      <c r="B609" s="8" t="str">
        <f>"高靖"</f>
        <v>高靖</v>
      </c>
      <c r="C609" s="8" t="str">
        <f>"341182199610110419"</f>
        <v>341182199610110419</v>
      </c>
      <c r="D609" s="8" t="str">
        <f>"20200302028"</f>
        <v>20200302028</v>
      </c>
      <c r="E609" s="9">
        <v>46.1</v>
      </c>
      <c r="F609" s="9">
        <v>70.5</v>
      </c>
      <c r="G609" s="9">
        <f t="shared" si="9"/>
        <v>116.6</v>
      </c>
      <c r="H609" s="8"/>
    </row>
    <row r="610" spans="1:8" ht="22.5" customHeight="1">
      <c r="A610" s="8" t="s">
        <v>56</v>
      </c>
      <c r="B610" s="8" t="str">
        <f>"曹胡"</f>
        <v>曹胡</v>
      </c>
      <c r="C610" s="8" t="str">
        <f>"341182199110230019"</f>
        <v>341182199110230019</v>
      </c>
      <c r="D610" s="8" t="str">
        <f>"20200302107"</f>
        <v>20200302107</v>
      </c>
      <c r="E610" s="9">
        <v>49.3</v>
      </c>
      <c r="F610" s="9">
        <v>65.5</v>
      </c>
      <c r="G610" s="9">
        <f t="shared" si="9"/>
        <v>114.8</v>
      </c>
      <c r="H610" s="8"/>
    </row>
    <row r="611" spans="1:8" ht="22.5" customHeight="1">
      <c r="A611" s="8" t="s">
        <v>56</v>
      </c>
      <c r="B611" s="8" t="str">
        <f>"曹春磊"</f>
        <v>曹春磊</v>
      </c>
      <c r="C611" s="8" t="str">
        <f>"341182199101250210"</f>
        <v>341182199101250210</v>
      </c>
      <c r="D611" s="8" t="str">
        <f>"20200302113"</f>
        <v>20200302113</v>
      </c>
      <c r="E611" s="9">
        <v>43.7</v>
      </c>
      <c r="F611" s="9">
        <v>70.5</v>
      </c>
      <c r="G611" s="9">
        <f t="shared" si="9"/>
        <v>114.2</v>
      </c>
      <c r="H611" s="8"/>
    </row>
    <row r="612" spans="1:8" ht="22.5" customHeight="1">
      <c r="A612" s="8" t="s">
        <v>56</v>
      </c>
      <c r="B612" s="8" t="str">
        <f>"尤凯"</f>
        <v>尤凯</v>
      </c>
      <c r="C612" s="8" t="str">
        <f>"341182199412184433"</f>
        <v>341182199412184433</v>
      </c>
      <c r="D612" s="8" t="str">
        <f>"20200302030"</f>
        <v>20200302030</v>
      </c>
      <c r="E612" s="9">
        <v>47.1</v>
      </c>
      <c r="F612" s="9">
        <v>67</v>
      </c>
      <c r="G612" s="9">
        <f t="shared" si="9"/>
        <v>114.1</v>
      </c>
      <c r="H612" s="8"/>
    </row>
    <row r="613" spans="1:8" ht="22.5" customHeight="1">
      <c r="A613" s="8" t="s">
        <v>56</v>
      </c>
      <c r="B613" s="8" t="str">
        <f>"赵露露"</f>
        <v>赵露露</v>
      </c>
      <c r="C613" s="8" t="str">
        <f>"341182199407210625"</f>
        <v>341182199407210625</v>
      </c>
      <c r="D613" s="8" t="str">
        <f>"20200302118"</f>
        <v>20200302118</v>
      </c>
      <c r="E613" s="9">
        <v>48.1</v>
      </c>
      <c r="F613" s="9">
        <v>66</v>
      </c>
      <c r="G613" s="9">
        <f t="shared" si="9"/>
        <v>114.1</v>
      </c>
      <c r="H613" s="8"/>
    </row>
    <row r="614" spans="1:8" ht="22.5" customHeight="1">
      <c r="A614" s="8" t="s">
        <v>56</v>
      </c>
      <c r="B614" s="8" t="str">
        <f>"陈鹏"</f>
        <v>陈鹏</v>
      </c>
      <c r="C614" s="8" t="str">
        <f>"341182199106242017"</f>
        <v>341182199106242017</v>
      </c>
      <c r="D614" s="8" t="str">
        <f>"20200302111"</f>
        <v>20200302111</v>
      </c>
      <c r="E614" s="9">
        <v>47.1</v>
      </c>
      <c r="F614" s="9">
        <v>65</v>
      </c>
      <c r="G614" s="9">
        <f t="shared" si="9"/>
        <v>112.1</v>
      </c>
      <c r="H614" s="8"/>
    </row>
    <row r="615" spans="1:8" ht="22.5" customHeight="1">
      <c r="A615" s="8" t="s">
        <v>56</v>
      </c>
      <c r="B615" s="8" t="str">
        <f>"袁倩"</f>
        <v>袁倩</v>
      </c>
      <c r="C615" s="8" t="str">
        <f>"341182198811123625"</f>
        <v>341182198811123625</v>
      </c>
      <c r="D615" s="8" t="str">
        <f>"20200302115"</f>
        <v>20200302115</v>
      </c>
      <c r="E615" s="9">
        <v>40.1</v>
      </c>
      <c r="F615" s="9">
        <v>71.5</v>
      </c>
      <c r="G615" s="9">
        <f t="shared" si="9"/>
        <v>111.6</v>
      </c>
      <c r="H615" s="8"/>
    </row>
    <row r="616" spans="1:8" ht="22.5" customHeight="1">
      <c r="A616" s="8" t="s">
        <v>56</v>
      </c>
      <c r="B616" s="8" t="str">
        <f>"邢颖"</f>
        <v>邢颖</v>
      </c>
      <c r="C616" s="8" t="str">
        <f>"341127198908202448"</f>
        <v>341127198908202448</v>
      </c>
      <c r="D616" s="8" t="str">
        <f>"20200302110"</f>
        <v>20200302110</v>
      </c>
      <c r="E616" s="9">
        <v>38.8</v>
      </c>
      <c r="F616" s="9">
        <v>66.5</v>
      </c>
      <c r="G616" s="9">
        <f t="shared" si="9"/>
        <v>105.3</v>
      </c>
      <c r="H616" s="8"/>
    </row>
    <row r="617" spans="1:8" ht="22.5" customHeight="1">
      <c r="A617" s="8" t="s">
        <v>56</v>
      </c>
      <c r="B617" s="8" t="str">
        <f>"朱国泰"</f>
        <v>朱国泰</v>
      </c>
      <c r="C617" s="8" t="str">
        <f>"341182199211205410"</f>
        <v>341182199211205410</v>
      </c>
      <c r="D617" s="8" t="str">
        <f>"20200302101"</f>
        <v>20200302101</v>
      </c>
      <c r="E617" s="9">
        <v>0</v>
      </c>
      <c r="F617" s="9">
        <v>0</v>
      </c>
      <c r="G617" s="9">
        <f t="shared" si="9"/>
        <v>0</v>
      </c>
      <c r="H617" s="8" t="s">
        <v>10</v>
      </c>
    </row>
    <row r="618" spans="1:8" ht="22.5" customHeight="1">
      <c r="A618" s="8" t="s">
        <v>56</v>
      </c>
      <c r="B618" s="8" t="str">
        <f>"黄海洋"</f>
        <v>黄海洋</v>
      </c>
      <c r="C618" s="8" t="str">
        <f>"341182199506282210"</f>
        <v>341182199506282210</v>
      </c>
      <c r="D618" s="8" t="str">
        <f>"20200302104"</f>
        <v>20200302104</v>
      </c>
      <c r="E618" s="9">
        <v>0</v>
      </c>
      <c r="F618" s="9">
        <v>0</v>
      </c>
      <c r="G618" s="9">
        <f t="shared" si="9"/>
        <v>0</v>
      </c>
      <c r="H618" s="8" t="s">
        <v>10</v>
      </c>
    </row>
    <row r="619" spans="1:8" ht="22.5" customHeight="1">
      <c r="A619" s="8" t="s">
        <v>56</v>
      </c>
      <c r="B619" s="8" t="str">
        <f>"江娜"</f>
        <v>江娜</v>
      </c>
      <c r="C619" s="8" t="str">
        <f>"341182199208040029"</f>
        <v>341182199208040029</v>
      </c>
      <c r="D619" s="8" t="str">
        <f>"20200302114"</f>
        <v>20200302114</v>
      </c>
      <c r="E619" s="9">
        <v>0</v>
      </c>
      <c r="F619" s="9">
        <v>0</v>
      </c>
      <c r="G619" s="9">
        <f t="shared" si="9"/>
        <v>0</v>
      </c>
      <c r="H619" s="8" t="s">
        <v>10</v>
      </c>
    </row>
    <row r="620" spans="1:8" ht="22.5" customHeight="1">
      <c r="A620" s="8" t="s">
        <v>56</v>
      </c>
      <c r="B620" s="8" t="str">
        <f>"夏凤娅"</f>
        <v>夏凤娅</v>
      </c>
      <c r="C620" s="8" t="str">
        <f>"130535199403070423"</f>
        <v>130535199403070423</v>
      </c>
      <c r="D620" s="8" t="str">
        <f>"20200302116"</f>
        <v>20200302116</v>
      </c>
      <c r="E620" s="9">
        <v>0</v>
      </c>
      <c r="F620" s="9">
        <v>0</v>
      </c>
      <c r="G620" s="9">
        <f t="shared" si="9"/>
        <v>0</v>
      </c>
      <c r="H620" s="8" t="s">
        <v>10</v>
      </c>
    </row>
    <row r="621" spans="1:8" ht="22.5" customHeight="1">
      <c r="A621" s="8" t="s">
        <v>57</v>
      </c>
      <c r="B621" s="8" t="str">
        <f>"成伟杰"</f>
        <v>成伟杰</v>
      </c>
      <c r="C621" s="8" t="str">
        <f>"320902199510223018"</f>
        <v>320902199510223018</v>
      </c>
      <c r="D621" s="8" t="str">
        <f>"20200302123"</f>
        <v>20200302123</v>
      </c>
      <c r="E621" s="9">
        <v>74.2</v>
      </c>
      <c r="F621" s="9">
        <v>68.5</v>
      </c>
      <c r="G621" s="9">
        <f t="shared" si="9"/>
        <v>142.7</v>
      </c>
      <c r="H621" s="8"/>
    </row>
    <row r="622" spans="1:8" ht="22.5" customHeight="1">
      <c r="A622" s="8" t="s">
        <v>57</v>
      </c>
      <c r="B622" s="8" t="str">
        <f>"戴晨"</f>
        <v>戴晨</v>
      </c>
      <c r="C622" s="8" t="str">
        <f>"341182199512260413"</f>
        <v>341182199512260413</v>
      </c>
      <c r="D622" s="8" t="str">
        <f>"20200302213"</f>
        <v>20200302213</v>
      </c>
      <c r="E622" s="9">
        <v>69.5</v>
      </c>
      <c r="F622" s="9">
        <v>71</v>
      </c>
      <c r="G622" s="9">
        <f t="shared" si="9"/>
        <v>140.5</v>
      </c>
      <c r="H622" s="8"/>
    </row>
    <row r="623" spans="1:8" ht="22.5" customHeight="1">
      <c r="A623" s="8" t="s">
        <v>57</v>
      </c>
      <c r="B623" s="8" t="str">
        <f>"王漠玉"</f>
        <v>王漠玉</v>
      </c>
      <c r="C623" s="8" t="str">
        <f>"341127199712311428"</f>
        <v>341127199712311428</v>
      </c>
      <c r="D623" s="8" t="str">
        <f>"20200302122"</f>
        <v>20200302122</v>
      </c>
      <c r="E623" s="9">
        <v>67.6</v>
      </c>
      <c r="F623" s="9">
        <v>72.5</v>
      </c>
      <c r="G623" s="9">
        <f t="shared" si="9"/>
        <v>140.1</v>
      </c>
      <c r="H623" s="8"/>
    </row>
    <row r="624" spans="1:8" ht="22.5" customHeight="1">
      <c r="A624" s="8" t="s">
        <v>57</v>
      </c>
      <c r="B624" s="8" t="str">
        <f>"殷雪"</f>
        <v>殷雪</v>
      </c>
      <c r="C624" s="8" t="str">
        <f>"341182199607026224"</f>
        <v>341182199607026224</v>
      </c>
      <c r="D624" s="8" t="str">
        <f>"20200302127"</f>
        <v>20200302127</v>
      </c>
      <c r="E624" s="9">
        <v>65.6</v>
      </c>
      <c r="F624" s="9">
        <v>74</v>
      </c>
      <c r="G624" s="9">
        <f t="shared" si="9"/>
        <v>139.6</v>
      </c>
      <c r="H624" s="8"/>
    </row>
    <row r="625" spans="1:8" ht="22.5" customHeight="1">
      <c r="A625" s="8" t="s">
        <v>57</v>
      </c>
      <c r="B625" s="8" t="str">
        <f>"戴朝阳"</f>
        <v>戴朝阳</v>
      </c>
      <c r="C625" s="8" t="str">
        <f>"341102199703226240"</f>
        <v>341102199703226240</v>
      </c>
      <c r="D625" s="8" t="str">
        <f>"20200302210"</f>
        <v>20200302210</v>
      </c>
      <c r="E625" s="9">
        <v>64.9</v>
      </c>
      <c r="F625" s="9">
        <v>74.5</v>
      </c>
      <c r="G625" s="9">
        <f t="shared" si="9"/>
        <v>139.4</v>
      </c>
      <c r="H625" s="8"/>
    </row>
    <row r="626" spans="1:8" ht="22.5" customHeight="1">
      <c r="A626" s="8" t="s">
        <v>57</v>
      </c>
      <c r="B626" s="8" t="str">
        <f>"张培远"</f>
        <v>张培远</v>
      </c>
      <c r="C626" s="8" t="str">
        <f>"341182199510083417"</f>
        <v>341182199510083417</v>
      </c>
      <c r="D626" s="8" t="str">
        <f>"20200302206"</f>
        <v>20200302206</v>
      </c>
      <c r="E626" s="9">
        <v>68.2</v>
      </c>
      <c r="F626" s="9">
        <v>71</v>
      </c>
      <c r="G626" s="9">
        <f t="shared" si="9"/>
        <v>139.2</v>
      </c>
      <c r="H626" s="8"/>
    </row>
    <row r="627" spans="1:8" ht="22.5" customHeight="1">
      <c r="A627" s="8" t="s">
        <v>57</v>
      </c>
      <c r="B627" s="8" t="str">
        <f>"董甜宇"</f>
        <v>董甜宇</v>
      </c>
      <c r="C627" s="8" t="str">
        <f>"341182199712153014"</f>
        <v>341182199712153014</v>
      </c>
      <c r="D627" s="8" t="str">
        <f>"20200302207"</f>
        <v>20200302207</v>
      </c>
      <c r="E627" s="9">
        <v>64.7</v>
      </c>
      <c r="F627" s="9">
        <v>72</v>
      </c>
      <c r="G627" s="9">
        <f t="shared" si="9"/>
        <v>136.7</v>
      </c>
      <c r="H627" s="8"/>
    </row>
    <row r="628" spans="1:8" ht="22.5" customHeight="1">
      <c r="A628" s="8" t="s">
        <v>57</v>
      </c>
      <c r="B628" s="8" t="str">
        <f>"杜晓欧"</f>
        <v>杜晓欧</v>
      </c>
      <c r="C628" s="8" t="str">
        <f>"341182199608243028"</f>
        <v>341182199608243028</v>
      </c>
      <c r="D628" s="8" t="str">
        <f>"20200302214"</f>
        <v>20200302214</v>
      </c>
      <c r="E628" s="9">
        <v>60.2</v>
      </c>
      <c r="F628" s="9">
        <v>74.5</v>
      </c>
      <c r="G628" s="9">
        <f t="shared" si="9"/>
        <v>134.7</v>
      </c>
      <c r="H628" s="8"/>
    </row>
    <row r="629" spans="1:8" ht="22.5" customHeight="1">
      <c r="A629" s="8" t="s">
        <v>57</v>
      </c>
      <c r="B629" s="8" t="str">
        <f>"蒋付超"</f>
        <v>蒋付超</v>
      </c>
      <c r="C629" s="8" t="str">
        <f>"341182199510011018"</f>
        <v>341182199510011018</v>
      </c>
      <c r="D629" s="8" t="str">
        <f>"20200302128"</f>
        <v>20200302128</v>
      </c>
      <c r="E629" s="9">
        <v>64</v>
      </c>
      <c r="F629" s="9">
        <v>69</v>
      </c>
      <c r="G629" s="9">
        <f t="shared" si="9"/>
        <v>133</v>
      </c>
      <c r="H629" s="8"/>
    </row>
    <row r="630" spans="1:8" ht="22.5" customHeight="1">
      <c r="A630" s="8" t="s">
        <v>57</v>
      </c>
      <c r="B630" s="8" t="str">
        <f>"张琳"</f>
        <v>张琳</v>
      </c>
      <c r="C630" s="8" t="str">
        <f>"341182199702262022"</f>
        <v>341182199702262022</v>
      </c>
      <c r="D630" s="8" t="str">
        <f>"20200302204"</f>
        <v>20200302204</v>
      </c>
      <c r="E630" s="9">
        <v>62.1</v>
      </c>
      <c r="F630" s="9">
        <v>70.5</v>
      </c>
      <c r="G630" s="9">
        <f t="shared" si="9"/>
        <v>132.6</v>
      </c>
      <c r="H630" s="8"/>
    </row>
    <row r="631" spans="1:8" ht="22.5" customHeight="1">
      <c r="A631" s="8" t="s">
        <v>57</v>
      </c>
      <c r="B631" s="8" t="str">
        <f>"臧玉琪"</f>
        <v>臧玉琪</v>
      </c>
      <c r="C631" s="8" t="str">
        <f>"341102199808062422"</f>
        <v>341102199808062422</v>
      </c>
      <c r="D631" s="8" t="str">
        <f>"20200302202"</f>
        <v>20200302202</v>
      </c>
      <c r="E631" s="9">
        <v>60.9</v>
      </c>
      <c r="F631" s="9">
        <v>71.5</v>
      </c>
      <c r="G631" s="9">
        <f t="shared" si="9"/>
        <v>132.4</v>
      </c>
      <c r="H631" s="8"/>
    </row>
    <row r="632" spans="1:8" ht="22.5" customHeight="1">
      <c r="A632" s="8" t="s">
        <v>57</v>
      </c>
      <c r="B632" s="8" t="str">
        <f>"李家露"</f>
        <v>李家露</v>
      </c>
      <c r="C632" s="8" t="str">
        <f>"341182199709076425"</f>
        <v>341182199709076425</v>
      </c>
      <c r="D632" s="8" t="str">
        <f>"20200302212"</f>
        <v>20200302212</v>
      </c>
      <c r="E632" s="9">
        <v>55.7</v>
      </c>
      <c r="F632" s="9">
        <v>73.5</v>
      </c>
      <c r="G632" s="9">
        <f t="shared" si="9"/>
        <v>129.2</v>
      </c>
      <c r="H632" s="8"/>
    </row>
    <row r="633" spans="1:8" ht="22.5" customHeight="1">
      <c r="A633" s="8" t="s">
        <v>57</v>
      </c>
      <c r="B633" s="8" t="str">
        <f>"刘悦"</f>
        <v>刘悦</v>
      </c>
      <c r="C633" s="8" t="str">
        <f>"341126199509087348"</f>
        <v>341126199509087348</v>
      </c>
      <c r="D633" s="8" t="str">
        <f>"20200302125"</f>
        <v>20200302125</v>
      </c>
      <c r="E633" s="9">
        <v>55.7</v>
      </c>
      <c r="F633" s="9">
        <v>72.5</v>
      </c>
      <c r="G633" s="9">
        <f t="shared" si="9"/>
        <v>128.2</v>
      </c>
      <c r="H633" s="8"/>
    </row>
    <row r="634" spans="1:8" ht="22.5" customHeight="1">
      <c r="A634" s="8" t="s">
        <v>57</v>
      </c>
      <c r="B634" s="8" t="str">
        <f>"朱凯"</f>
        <v>朱凯</v>
      </c>
      <c r="C634" s="8" t="str">
        <f>"320830199408120039"</f>
        <v>320830199408120039</v>
      </c>
      <c r="D634" s="8" t="str">
        <f>"20200302130"</f>
        <v>20200302130</v>
      </c>
      <c r="E634" s="9">
        <v>53.6</v>
      </c>
      <c r="F634" s="9">
        <v>74.5</v>
      </c>
      <c r="G634" s="9">
        <f t="shared" si="9"/>
        <v>128.1</v>
      </c>
      <c r="H634" s="8"/>
    </row>
    <row r="635" spans="1:8" ht="22.5" customHeight="1">
      <c r="A635" s="8" t="s">
        <v>57</v>
      </c>
      <c r="B635" s="8" t="str">
        <f>"翟星雨"</f>
        <v>翟星雨</v>
      </c>
      <c r="C635" s="8" t="str">
        <f>"341182199803081626"</f>
        <v>341182199803081626</v>
      </c>
      <c r="D635" s="8" t="str">
        <f>"20200302209"</f>
        <v>20200302209</v>
      </c>
      <c r="E635" s="9">
        <v>54.9</v>
      </c>
      <c r="F635" s="9">
        <v>71.5</v>
      </c>
      <c r="G635" s="9">
        <f t="shared" si="9"/>
        <v>126.4</v>
      </c>
      <c r="H635" s="8"/>
    </row>
    <row r="636" spans="1:8" ht="22.5" customHeight="1">
      <c r="A636" s="8" t="s">
        <v>57</v>
      </c>
      <c r="B636" s="8" t="str">
        <f>"杨沐晨"</f>
        <v>杨沐晨</v>
      </c>
      <c r="C636" s="8" t="str">
        <f>"341182199706290047"</f>
        <v>341182199706290047</v>
      </c>
      <c r="D636" s="8" t="str">
        <f>"20200302203"</f>
        <v>20200302203</v>
      </c>
      <c r="E636" s="9">
        <v>52.2</v>
      </c>
      <c r="F636" s="9">
        <v>73</v>
      </c>
      <c r="G636" s="9">
        <f t="shared" si="9"/>
        <v>125.2</v>
      </c>
      <c r="H636" s="8"/>
    </row>
    <row r="637" spans="1:8" ht="22.5" customHeight="1">
      <c r="A637" s="8" t="s">
        <v>57</v>
      </c>
      <c r="B637" s="8" t="str">
        <f>"赵梦圆"</f>
        <v>赵梦圆</v>
      </c>
      <c r="C637" s="8" t="str">
        <f>"341182199612032223"</f>
        <v>341182199612032223</v>
      </c>
      <c r="D637" s="8" t="str">
        <f>"20200302126"</f>
        <v>20200302126</v>
      </c>
      <c r="E637" s="9">
        <v>55.4</v>
      </c>
      <c r="F637" s="9">
        <v>69</v>
      </c>
      <c r="G637" s="9">
        <f t="shared" si="9"/>
        <v>124.4</v>
      </c>
      <c r="H637" s="8"/>
    </row>
    <row r="638" spans="1:8" ht="22.5" customHeight="1">
      <c r="A638" s="8" t="s">
        <v>57</v>
      </c>
      <c r="B638" s="8" t="str">
        <f>"刘称称"</f>
        <v>刘称称</v>
      </c>
      <c r="C638" s="8" t="str">
        <f>"370404199612022246"</f>
        <v>370404199612022246</v>
      </c>
      <c r="D638" s="8" t="str">
        <f>"20200302205"</f>
        <v>20200302205</v>
      </c>
      <c r="E638" s="9">
        <v>48.4</v>
      </c>
      <c r="F638" s="9">
        <v>75</v>
      </c>
      <c r="G638" s="9">
        <f t="shared" si="9"/>
        <v>123.4</v>
      </c>
      <c r="H638" s="8"/>
    </row>
    <row r="639" spans="1:8" ht="22.5" customHeight="1">
      <c r="A639" s="8" t="s">
        <v>57</v>
      </c>
      <c r="B639" s="8" t="str">
        <f>"袁梦"</f>
        <v>袁梦</v>
      </c>
      <c r="C639" s="8" t="str">
        <f>"341182199802191612"</f>
        <v>341182199802191612</v>
      </c>
      <c r="D639" s="8" t="str">
        <f>"20200302124"</f>
        <v>20200302124</v>
      </c>
      <c r="E639" s="9">
        <v>52.4</v>
      </c>
      <c r="F639" s="9">
        <v>70.5</v>
      </c>
      <c r="G639" s="9">
        <f t="shared" si="9"/>
        <v>122.9</v>
      </c>
      <c r="H639" s="8"/>
    </row>
    <row r="640" spans="1:8" ht="22.5" customHeight="1">
      <c r="A640" s="8" t="s">
        <v>57</v>
      </c>
      <c r="B640" s="8" t="str">
        <f>"熊志凤"</f>
        <v>熊志凤</v>
      </c>
      <c r="C640" s="8" t="str">
        <f>"340521199311212341"</f>
        <v>340521199311212341</v>
      </c>
      <c r="D640" s="8" t="str">
        <f>"20200302120"</f>
        <v>20200302120</v>
      </c>
      <c r="E640" s="9">
        <v>50</v>
      </c>
      <c r="F640" s="9">
        <v>72.5</v>
      </c>
      <c r="G640" s="9">
        <f t="shared" si="9"/>
        <v>122.5</v>
      </c>
      <c r="H640" s="8"/>
    </row>
    <row r="641" spans="1:8" ht="22.5" customHeight="1">
      <c r="A641" s="8" t="s">
        <v>57</v>
      </c>
      <c r="B641" s="8" t="str">
        <f>"王海玟"</f>
        <v>王海玟</v>
      </c>
      <c r="C641" s="8" t="str">
        <f>"341182199702122644"</f>
        <v>341182199702122644</v>
      </c>
      <c r="D641" s="8" t="str">
        <f>"20200302121"</f>
        <v>20200302121</v>
      </c>
      <c r="E641" s="9">
        <v>49</v>
      </c>
      <c r="F641" s="9">
        <v>72</v>
      </c>
      <c r="G641" s="9">
        <f t="shared" si="9"/>
        <v>121</v>
      </c>
      <c r="H641" s="8"/>
    </row>
    <row r="642" spans="1:8" ht="22.5" customHeight="1">
      <c r="A642" s="8" t="s">
        <v>57</v>
      </c>
      <c r="B642" s="8" t="str">
        <f>"王普贤"</f>
        <v>王普贤</v>
      </c>
      <c r="C642" s="8" t="str">
        <f>"341182199606052631"</f>
        <v>341182199606052631</v>
      </c>
      <c r="D642" s="8" t="str">
        <f>"20200302215"</f>
        <v>20200302215</v>
      </c>
      <c r="E642" s="9">
        <v>46.1</v>
      </c>
      <c r="F642" s="9">
        <v>71.5</v>
      </c>
      <c r="G642" s="9">
        <f t="shared" si="9"/>
        <v>117.6</v>
      </c>
      <c r="H642" s="8"/>
    </row>
    <row r="643" spans="1:8" ht="22.5" customHeight="1">
      <c r="A643" s="8" t="s">
        <v>57</v>
      </c>
      <c r="B643" s="8" t="str">
        <f>"许文体"</f>
        <v>许文体</v>
      </c>
      <c r="C643" s="8" t="str">
        <f>"341182199611096436"</f>
        <v>341182199611096436</v>
      </c>
      <c r="D643" s="8" t="str">
        <f>"20200302119"</f>
        <v>20200302119</v>
      </c>
      <c r="E643" s="9">
        <v>52</v>
      </c>
      <c r="F643" s="9">
        <v>62</v>
      </c>
      <c r="G643" s="9">
        <f aca="true" t="shared" si="10" ref="G643:G706">E643+F643</f>
        <v>114</v>
      </c>
      <c r="H643" s="8"/>
    </row>
    <row r="644" spans="1:8" ht="22.5" customHeight="1">
      <c r="A644" s="8" t="s">
        <v>57</v>
      </c>
      <c r="B644" s="8" t="str">
        <f>"刘莉"</f>
        <v>刘莉</v>
      </c>
      <c r="C644" s="8" t="str">
        <f>"341182199605156447"</f>
        <v>341182199605156447</v>
      </c>
      <c r="D644" s="8" t="str">
        <f>"20200302208"</f>
        <v>20200302208</v>
      </c>
      <c r="E644" s="9">
        <v>44.6</v>
      </c>
      <c r="F644" s="9">
        <v>68.5</v>
      </c>
      <c r="G644" s="9">
        <f t="shared" si="10"/>
        <v>113.1</v>
      </c>
      <c r="H644" s="8"/>
    </row>
    <row r="645" spans="1:8" ht="22.5" customHeight="1">
      <c r="A645" s="8" t="s">
        <v>57</v>
      </c>
      <c r="B645" s="8" t="str">
        <f>"郭瑶瑶"</f>
        <v>郭瑶瑶</v>
      </c>
      <c r="C645" s="8" t="str">
        <f>"340322199602011625"</f>
        <v>340322199602011625</v>
      </c>
      <c r="D645" s="8" t="str">
        <f>"20200302211"</f>
        <v>20200302211</v>
      </c>
      <c r="E645" s="9">
        <v>41.5</v>
      </c>
      <c r="F645" s="9">
        <v>68</v>
      </c>
      <c r="G645" s="9">
        <f t="shared" si="10"/>
        <v>109.5</v>
      </c>
      <c r="H645" s="8"/>
    </row>
    <row r="646" spans="1:8" ht="22.5" customHeight="1">
      <c r="A646" s="8" t="s">
        <v>57</v>
      </c>
      <c r="B646" s="8" t="str">
        <f>"刘鑫"</f>
        <v>刘鑫</v>
      </c>
      <c r="C646" s="8" t="str">
        <f>"230712199911020334"</f>
        <v>230712199911020334</v>
      </c>
      <c r="D646" s="8" t="str">
        <f>"20200302129"</f>
        <v>20200302129</v>
      </c>
      <c r="E646" s="9">
        <v>0</v>
      </c>
      <c r="F646" s="9">
        <v>0</v>
      </c>
      <c r="G646" s="9">
        <f t="shared" si="10"/>
        <v>0</v>
      </c>
      <c r="H646" s="8" t="s">
        <v>10</v>
      </c>
    </row>
    <row r="647" spans="1:8" ht="22.5" customHeight="1">
      <c r="A647" s="8" t="s">
        <v>57</v>
      </c>
      <c r="B647" s="8" t="str">
        <f>"姜楠"</f>
        <v>姜楠</v>
      </c>
      <c r="C647" s="8" t="str">
        <f>"341182199708130047"</f>
        <v>341182199708130047</v>
      </c>
      <c r="D647" s="8" t="str">
        <f>"20200302201"</f>
        <v>20200302201</v>
      </c>
      <c r="E647" s="9">
        <v>0</v>
      </c>
      <c r="F647" s="9">
        <v>0</v>
      </c>
      <c r="G647" s="9">
        <f t="shared" si="10"/>
        <v>0</v>
      </c>
      <c r="H647" s="8" t="s">
        <v>10</v>
      </c>
    </row>
    <row r="648" spans="1:8" ht="22.5" customHeight="1">
      <c r="A648" s="8" t="s">
        <v>58</v>
      </c>
      <c r="B648" s="8" t="str">
        <f>"唐磊"</f>
        <v>唐磊</v>
      </c>
      <c r="C648" s="8" t="str">
        <f>"342625199708150997"</f>
        <v>342625199708150997</v>
      </c>
      <c r="D648" s="8" t="str">
        <f>"20200302516"</f>
        <v>20200302516</v>
      </c>
      <c r="E648" s="9">
        <v>80.4</v>
      </c>
      <c r="F648" s="9">
        <v>74.5</v>
      </c>
      <c r="G648" s="9">
        <f t="shared" si="10"/>
        <v>154.9</v>
      </c>
      <c r="H648" s="8"/>
    </row>
    <row r="649" spans="1:8" ht="22.5" customHeight="1">
      <c r="A649" s="8" t="s">
        <v>58</v>
      </c>
      <c r="B649" s="8" t="str">
        <f>"杨帆"</f>
        <v>杨帆</v>
      </c>
      <c r="C649" s="8" t="str">
        <f>"341126198710161218"</f>
        <v>341126198710161218</v>
      </c>
      <c r="D649" s="8" t="str">
        <f>"20200302722"</f>
        <v>20200302722</v>
      </c>
      <c r="E649" s="9">
        <v>76.5</v>
      </c>
      <c r="F649" s="9">
        <v>73.5</v>
      </c>
      <c r="G649" s="9">
        <f t="shared" si="10"/>
        <v>150</v>
      </c>
      <c r="H649" s="8"/>
    </row>
    <row r="650" spans="1:8" ht="22.5" customHeight="1">
      <c r="A650" s="8" t="s">
        <v>58</v>
      </c>
      <c r="B650" s="8" t="str">
        <f>"江安娜"</f>
        <v>江安娜</v>
      </c>
      <c r="C650" s="8" t="str">
        <f>"341181199208090222"</f>
        <v>341181199208090222</v>
      </c>
      <c r="D650" s="8" t="str">
        <f>"20200302518"</f>
        <v>20200302518</v>
      </c>
      <c r="E650" s="9">
        <v>73.1</v>
      </c>
      <c r="F650" s="9">
        <v>73.5</v>
      </c>
      <c r="G650" s="9">
        <f t="shared" si="10"/>
        <v>146.6</v>
      </c>
      <c r="H650" s="8"/>
    </row>
    <row r="651" spans="1:8" ht="22.5" customHeight="1">
      <c r="A651" s="8" t="s">
        <v>58</v>
      </c>
      <c r="B651" s="8" t="str">
        <f>"张文峰"</f>
        <v>张文峰</v>
      </c>
      <c r="C651" s="8" t="str">
        <f>"341182198601293036"</f>
        <v>341182198601293036</v>
      </c>
      <c r="D651" s="8" t="str">
        <f>"20200302702"</f>
        <v>20200302702</v>
      </c>
      <c r="E651" s="9">
        <v>70</v>
      </c>
      <c r="F651" s="9">
        <v>74.5</v>
      </c>
      <c r="G651" s="9">
        <f t="shared" si="10"/>
        <v>144.5</v>
      </c>
      <c r="H651" s="8"/>
    </row>
    <row r="652" spans="1:8" ht="22.5" customHeight="1">
      <c r="A652" s="8" t="s">
        <v>58</v>
      </c>
      <c r="B652" s="8" t="str">
        <f>"杜雅琼"</f>
        <v>杜雅琼</v>
      </c>
      <c r="C652" s="8" t="str">
        <f>"34118219940529022X"</f>
        <v>34118219940529022X</v>
      </c>
      <c r="D652" s="8" t="str">
        <f>"20200302329"</f>
        <v>20200302329</v>
      </c>
      <c r="E652" s="9">
        <v>66.9</v>
      </c>
      <c r="F652" s="9">
        <v>77</v>
      </c>
      <c r="G652" s="9">
        <f t="shared" si="10"/>
        <v>143.9</v>
      </c>
      <c r="H652" s="8"/>
    </row>
    <row r="653" spans="1:8" ht="22.5" customHeight="1">
      <c r="A653" s="8" t="s">
        <v>58</v>
      </c>
      <c r="B653" s="8" t="str">
        <f>"陈雨"</f>
        <v>陈雨</v>
      </c>
      <c r="C653" s="8" t="str">
        <f>"341182199106261816"</f>
        <v>341182199106261816</v>
      </c>
      <c r="D653" s="8" t="str">
        <f>"20200302229"</f>
        <v>20200302229</v>
      </c>
      <c r="E653" s="9">
        <v>70.8</v>
      </c>
      <c r="F653" s="9">
        <v>72</v>
      </c>
      <c r="G653" s="9">
        <f t="shared" si="10"/>
        <v>142.8</v>
      </c>
      <c r="H653" s="8"/>
    </row>
    <row r="654" spans="1:8" ht="22.5" customHeight="1">
      <c r="A654" s="8" t="s">
        <v>58</v>
      </c>
      <c r="B654" s="8" t="str">
        <f>"杜家磊"</f>
        <v>杜家磊</v>
      </c>
      <c r="C654" s="8" t="str">
        <f>"341126199405250913"</f>
        <v>341126199405250913</v>
      </c>
      <c r="D654" s="8" t="str">
        <f>"20200302817"</f>
        <v>20200302817</v>
      </c>
      <c r="E654" s="9">
        <v>73.6</v>
      </c>
      <c r="F654" s="9">
        <v>68.5</v>
      </c>
      <c r="G654" s="9">
        <f t="shared" si="10"/>
        <v>142.1</v>
      </c>
      <c r="H654" s="8"/>
    </row>
    <row r="655" spans="1:8" ht="22.5" customHeight="1">
      <c r="A655" s="8" t="s">
        <v>58</v>
      </c>
      <c r="B655" s="8" t="str">
        <f>"支艳艳"</f>
        <v>支艳艳</v>
      </c>
      <c r="C655" s="8" t="str">
        <f>"341182199501180020"</f>
        <v>341182199501180020</v>
      </c>
      <c r="D655" s="8" t="str">
        <f>"20200302418"</f>
        <v>20200302418</v>
      </c>
      <c r="E655" s="9">
        <v>65</v>
      </c>
      <c r="F655" s="9">
        <v>76</v>
      </c>
      <c r="G655" s="9">
        <f t="shared" si="10"/>
        <v>141</v>
      </c>
      <c r="H655" s="8"/>
    </row>
    <row r="656" spans="1:8" ht="22.5" customHeight="1">
      <c r="A656" s="8" t="s">
        <v>58</v>
      </c>
      <c r="B656" s="8" t="str">
        <f>"杨朝伟"</f>
        <v>杨朝伟</v>
      </c>
      <c r="C656" s="8" t="str">
        <f>"341103198904153238"</f>
        <v>341103198904153238</v>
      </c>
      <c r="D656" s="8" t="str">
        <f>"20200302716"</f>
        <v>20200302716</v>
      </c>
      <c r="E656" s="9">
        <v>67</v>
      </c>
      <c r="F656" s="9">
        <v>74</v>
      </c>
      <c r="G656" s="9">
        <f t="shared" si="10"/>
        <v>141</v>
      </c>
      <c r="H656" s="8"/>
    </row>
    <row r="657" spans="1:8" ht="22.5" customHeight="1">
      <c r="A657" s="8" t="s">
        <v>58</v>
      </c>
      <c r="B657" s="8" t="str">
        <f>"刘杨"</f>
        <v>刘杨</v>
      </c>
      <c r="C657" s="8" t="str">
        <f>"34118119930819001X"</f>
        <v>34118119930819001X</v>
      </c>
      <c r="D657" s="8" t="str">
        <f>"20200302420"</f>
        <v>20200302420</v>
      </c>
      <c r="E657" s="9">
        <v>69.6</v>
      </c>
      <c r="F657" s="9">
        <v>71</v>
      </c>
      <c r="G657" s="9">
        <f t="shared" si="10"/>
        <v>140.6</v>
      </c>
      <c r="H657" s="8"/>
    </row>
    <row r="658" spans="1:8" ht="22.5" customHeight="1">
      <c r="A658" s="8" t="s">
        <v>58</v>
      </c>
      <c r="B658" s="8" t="str">
        <f>"王珂"</f>
        <v>王珂</v>
      </c>
      <c r="C658" s="8" t="str">
        <f>"341182199404230022"</f>
        <v>341182199404230022</v>
      </c>
      <c r="D658" s="8" t="str">
        <f>"20200302607"</f>
        <v>20200302607</v>
      </c>
      <c r="E658" s="9">
        <v>63.1</v>
      </c>
      <c r="F658" s="9">
        <v>76.5</v>
      </c>
      <c r="G658" s="9">
        <f t="shared" si="10"/>
        <v>139.6</v>
      </c>
      <c r="H658" s="8"/>
    </row>
    <row r="659" spans="1:8" ht="22.5" customHeight="1">
      <c r="A659" s="8" t="s">
        <v>58</v>
      </c>
      <c r="B659" s="8" t="str">
        <f>"殷志飞"</f>
        <v>殷志飞</v>
      </c>
      <c r="C659" s="8" t="str">
        <f>"341182199012291619"</f>
        <v>341182199012291619</v>
      </c>
      <c r="D659" s="8" t="str">
        <f>"20200302602"</f>
        <v>20200302602</v>
      </c>
      <c r="E659" s="9">
        <v>66.7</v>
      </c>
      <c r="F659" s="9">
        <v>72.5</v>
      </c>
      <c r="G659" s="9">
        <f t="shared" si="10"/>
        <v>139.2</v>
      </c>
      <c r="H659" s="8"/>
    </row>
    <row r="660" spans="1:8" ht="22.5" customHeight="1">
      <c r="A660" s="8" t="s">
        <v>58</v>
      </c>
      <c r="B660" s="8" t="str">
        <f>"林昌"</f>
        <v>林昌</v>
      </c>
      <c r="C660" s="8" t="str">
        <f>"341182199507270019"</f>
        <v>341182199507270019</v>
      </c>
      <c r="D660" s="8" t="str">
        <f>"20200302525"</f>
        <v>20200302525</v>
      </c>
      <c r="E660" s="9">
        <v>68.2</v>
      </c>
      <c r="F660" s="9">
        <v>70.5</v>
      </c>
      <c r="G660" s="9">
        <f t="shared" si="10"/>
        <v>138.7</v>
      </c>
      <c r="H660" s="8"/>
    </row>
    <row r="661" spans="1:8" ht="22.5" customHeight="1">
      <c r="A661" s="8" t="s">
        <v>58</v>
      </c>
      <c r="B661" s="8" t="str">
        <f>"鲍永健"</f>
        <v>鲍永健</v>
      </c>
      <c r="C661" s="8" t="str">
        <f>"640302199205150037"</f>
        <v>640302199205150037</v>
      </c>
      <c r="D661" s="8" t="str">
        <f>"20200302706"</f>
        <v>20200302706</v>
      </c>
      <c r="E661" s="9">
        <v>65.2</v>
      </c>
      <c r="F661" s="9">
        <v>73.5</v>
      </c>
      <c r="G661" s="9">
        <f t="shared" si="10"/>
        <v>138.7</v>
      </c>
      <c r="H661" s="8"/>
    </row>
    <row r="662" spans="1:8" ht="22.5" customHeight="1">
      <c r="A662" s="8" t="s">
        <v>58</v>
      </c>
      <c r="B662" s="8" t="str">
        <f>"范迪俊"</f>
        <v>范迪俊</v>
      </c>
      <c r="C662" s="8" t="str">
        <f>"34118219871012221X"</f>
        <v>34118219871012221X</v>
      </c>
      <c r="D662" s="8" t="str">
        <f>"20200302417"</f>
        <v>20200302417</v>
      </c>
      <c r="E662" s="9">
        <v>67.8</v>
      </c>
      <c r="F662" s="9">
        <v>70.5</v>
      </c>
      <c r="G662" s="9">
        <f t="shared" si="10"/>
        <v>138.3</v>
      </c>
      <c r="H662" s="8"/>
    </row>
    <row r="663" spans="1:8" ht="22.5" customHeight="1">
      <c r="A663" s="8" t="s">
        <v>58</v>
      </c>
      <c r="B663" s="8" t="str">
        <f>"何睿"</f>
        <v>何睿</v>
      </c>
      <c r="C663" s="8" t="str">
        <f>"341102199511050420"</f>
        <v>341102199511050420</v>
      </c>
      <c r="D663" s="8" t="str">
        <f>"20200302512"</f>
        <v>20200302512</v>
      </c>
      <c r="E663" s="9">
        <v>65.1</v>
      </c>
      <c r="F663" s="9">
        <v>73</v>
      </c>
      <c r="G663" s="9">
        <f t="shared" si="10"/>
        <v>138.1</v>
      </c>
      <c r="H663" s="8"/>
    </row>
    <row r="664" spans="1:8" ht="22.5" customHeight="1">
      <c r="A664" s="8" t="s">
        <v>58</v>
      </c>
      <c r="B664" s="8" t="str">
        <f>"范新旗"</f>
        <v>范新旗</v>
      </c>
      <c r="C664" s="8" t="str">
        <f>"341182199503182214"</f>
        <v>341182199503182214</v>
      </c>
      <c r="D664" s="8" t="str">
        <f>"20200302806"</f>
        <v>20200302806</v>
      </c>
      <c r="E664" s="9">
        <v>68.4</v>
      </c>
      <c r="F664" s="9">
        <v>69.5</v>
      </c>
      <c r="G664" s="9">
        <f t="shared" si="10"/>
        <v>137.9</v>
      </c>
      <c r="H664" s="8"/>
    </row>
    <row r="665" spans="1:8" ht="22.5" customHeight="1">
      <c r="A665" s="8" t="s">
        <v>58</v>
      </c>
      <c r="B665" s="8" t="str">
        <f>"唐俊"</f>
        <v>唐俊</v>
      </c>
      <c r="C665" s="8" t="str">
        <f>"341103198903281238"</f>
        <v>341103198903281238</v>
      </c>
      <c r="D665" s="8" t="str">
        <f>"20200302701"</f>
        <v>20200302701</v>
      </c>
      <c r="E665" s="9">
        <v>67.1</v>
      </c>
      <c r="F665" s="9">
        <v>70.5</v>
      </c>
      <c r="G665" s="9">
        <f t="shared" si="10"/>
        <v>137.6</v>
      </c>
      <c r="H665" s="8"/>
    </row>
    <row r="666" spans="1:8" ht="22.5" customHeight="1">
      <c r="A666" s="8" t="s">
        <v>58</v>
      </c>
      <c r="B666" s="8" t="str">
        <f>"王玉巧"</f>
        <v>王玉巧</v>
      </c>
      <c r="C666" s="8" t="str">
        <f>"341182199105050646"</f>
        <v>341182199105050646</v>
      </c>
      <c r="D666" s="8" t="str">
        <f>"20200302711"</f>
        <v>20200302711</v>
      </c>
      <c r="E666" s="9">
        <v>64.5</v>
      </c>
      <c r="F666" s="9">
        <v>73</v>
      </c>
      <c r="G666" s="9">
        <f t="shared" si="10"/>
        <v>137.5</v>
      </c>
      <c r="H666" s="8"/>
    </row>
    <row r="667" spans="1:8" ht="22.5" customHeight="1">
      <c r="A667" s="8" t="s">
        <v>58</v>
      </c>
      <c r="B667" s="8" t="str">
        <f>"朱梦圆"</f>
        <v>朱梦圆</v>
      </c>
      <c r="C667" s="8" t="str">
        <f>"341182199701173028"</f>
        <v>341182199701173028</v>
      </c>
      <c r="D667" s="8" t="str">
        <f>"20200302610"</f>
        <v>20200302610</v>
      </c>
      <c r="E667" s="9">
        <v>67.8</v>
      </c>
      <c r="F667" s="9">
        <v>69.5</v>
      </c>
      <c r="G667" s="9">
        <f t="shared" si="10"/>
        <v>137.3</v>
      </c>
      <c r="H667" s="8"/>
    </row>
    <row r="668" spans="1:8" ht="22.5" customHeight="1">
      <c r="A668" s="8" t="s">
        <v>58</v>
      </c>
      <c r="B668" s="8" t="str">
        <f>"徐腾"</f>
        <v>徐腾</v>
      </c>
      <c r="C668" s="8" t="str">
        <f>"341103199006151251"</f>
        <v>341103199006151251</v>
      </c>
      <c r="D668" s="8" t="str">
        <f>"20200302401"</f>
        <v>20200302401</v>
      </c>
      <c r="E668" s="9">
        <v>65.9</v>
      </c>
      <c r="F668" s="9">
        <v>71</v>
      </c>
      <c r="G668" s="9">
        <f t="shared" si="10"/>
        <v>136.9</v>
      </c>
      <c r="H668" s="8"/>
    </row>
    <row r="669" spans="1:8" ht="22.5" customHeight="1">
      <c r="A669" s="8" t="s">
        <v>58</v>
      </c>
      <c r="B669" s="8" t="str">
        <f>"陈强"</f>
        <v>陈强</v>
      </c>
      <c r="C669" s="8" t="str">
        <f>"340221199303032854"</f>
        <v>340221199303032854</v>
      </c>
      <c r="D669" s="8" t="str">
        <f>"20200302821"</f>
        <v>20200302821</v>
      </c>
      <c r="E669" s="9">
        <v>66.2</v>
      </c>
      <c r="F669" s="9">
        <v>70.5</v>
      </c>
      <c r="G669" s="9">
        <f t="shared" si="10"/>
        <v>136.7</v>
      </c>
      <c r="H669" s="8"/>
    </row>
    <row r="670" spans="1:8" ht="22.5" customHeight="1">
      <c r="A670" s="8" t="s">
        <v>58</v>
      </c>
      <c r="B670" s="8" t="str">
        <f>"赵保钰"</f>
        <v>赵保钰</v>
      </c>
      <c r="C670" s="8" t="str">
        <f>"34118119890829001X"</f>
        <v>34118119890829001X</v>
      </c>
      <c r="D670" s="8" t="str">
        <f>"20200302319"</f>
        <v>20200302319</v>
      </c>
      <c r="E670" s="9">
        <v>66.6</v>
      </c>
      <c r="F670" s="9">
        <v>70</v>
      </c>
      <c r="G670" s="9">
        <f t="shared" si="10"/>
        <v>136.6</v>
      </c>
      <c r="H670" s="8"/>
    </row>
    <row r="671" spans="1:8" ht="22.5" customHeight="1">
      <c r="A671" s="8" t="s">
        <v>58</v>
      </c>
      <c r="B671" s="8" t="str">
        <f>"张坤"</f>
        <v>张坤</v>
      </c>
      <c r="C671" s="8" t="str">
        <f>"341182199508143011"</f>
        <v>341182199508143011</v>
      </c>
      <c r="D671" s="8" t="str">
        <f>"20200302705"</f>
        <v>20200302705</v>
      </c>
      <c r="E671" s="9">
        <v>65.1</v>
      </c>
      <c r="F671" s="9">
        <v>71</v>
      </c>
      <c r="G671" s="9">
        <f t="shared" si="10"/>
        <v>136.1</v>
      </c>
      <c r="H671" s="8"/>
    </row>
    <row r="672" spans="1:8" ht="22.5" customHeight="1">
      <c r="A672" s="8" t="s">
        <v>58</v>
      </c>
      <c r="B672" s="8" t="str">
        <f>"赵盼"</f>
        <v>赵盼</v>
      </c>
      <c r="C672" s="8" t="str">
        <f>"340321199108099282"</f>
        <v>340321199108099282</v>
      </c>
      <c r="D672" s="8" t="str">
        <f>"20200302310"</f>
        <v>20200302310</v>
      </c>
      <c r="E672" s="9">
        <v>66.8</v>
      </c>
      <c r="F672" s="9">
        <v>69</v>
      </c>
      <c r="G672" s="9">
        <f t="shared" si="10"/>
        <v>135.8</v>
      </c>
      <c r="H672" s="8"/>
    </row>
    <row r="673" spans="1:8" ht="22.5" customHeight="1">
      <c r="A673" s="8" t="s">
        <v>58</v>
      </c>
      <c r="B673" s="8" t="str">
        <f>"张欣"</f>
        <v>张欣</v>
      </c>
      <c r="C673" s="8" t="str">
        <f>"341182199209186425"</f>
        <v>341182199209186425</v>
      </c>
      <c r="D673" s="8" t="str">
        <f>"20200302507"</f>
        <v>20200302507</v>
      </c>
      <c r="E673" s="9">
        <v>63.2</v>
      </c>
      <c r="F673" s="9">
        <v>72.5</v>
      </c>
      <c r="G673" s="9">
        <f t="shared" si="10"/>
        <v>135.7</v>
      </c>
      <c r="H673" s="8"/>
    </row>
    <row r="674" spans="1:8" ht="22.5" customHeight="1">
      <c r="A674" s="8" t="s">
        <v>58</v>
      </c>
      <c r="B674" s="8" t="str">
        <f>"魏娜"</f>
        <v>魏娜</v>
      </c>
      <c r="C674" s="8" t="str">
        <f>"341182199210200642"</f>
        <v>341182199210200642</v>
      </c>
      <c r="D674" s="8" t="str">
        <f>"20200302712"</f>
        <v>20200302712</v>
      </c>
      <c r="E674" s="9">
        <v>62.5</v>
      </c>
      <c r="F674" s="9">
        <v>73</v>
      </c>
      <c r="G674" s="9">
        <f t="shared" si="10"/>
        <v>135.5</v>
      </c>
      <c r="H674" s="8"/>
    </row>
    <row r="675" spans="1:8" ht="22.5" customHeight="1">
      <c r="A675" s="8" t="s">
        <v>58</v>
      </c>
      <c r="B675" s="8" t="str">
        <f>"王伟男"</f>
        <v>王伟男</v>
      </c>
      <c r="C675" s="8" t="str">
        <f>"341182199205010211"</f>
        <v>341182199205010211</v>
      </c>
      <c r="D675" s="8" t="str">
        <f>"20200302226"</f>
        <v>20200302226</v>
      </c>
      <c r="E675" s="9">
        <v>66.5</v>
      </c>
      <c r="F675" s="9">
        <v>68.5</v>
      </c>
      <c r="G675" s="9">
        <f t="shared" si="10"/>
        <v>135</v>
      </c>
      <c r="H675" s="8"/>
    </row>
    <row r="676" spans="1:8" ht="22.5" customHeight="1">
      <c r="A676" s="8" t="s">
        <v>58</v>
      </c>
      <c r="B676" s="8" t="str">
        <f>"卢正月"</f>
        <v>卢正月</v>
      </c>
      <c r="C676" s="8" t="str">
        <f>"341182198703052030"</f>
        <v>341182198703052030</v>
      </c>
      <c r="D676" s="8" t="str">
        <f>"20200302224"</f>
        <v>20200302224</v>
      </c>
      <c r="E676" s="9">
        <v>62.1</v>
      </c>
      <c r="F676" s="9">
        <v>72.5</v>
      </c>
      <c r="G676" s="9">
        <f t="shared" si="10"/>
        <v>134.6</v>
      </c>
      <c r="H676" s="8"/>
    </row>
    <row r="677" spans="1:8" ht="22.5" customHeight="1">
      <c r="A677" s="8" t="s">
        <v>58</v>
      </c>
      <c r="B677" s="8" t="str">
        <f>"杨帆"</f>
        <v>杨帆</v>
      </c>
      <c r="C677" s="8" t="str">
        <f>"341182198709110238"</f>
        <v>341182198709110238</v>
      </c>
      <c r="D677" s="8" t="str">
        <f>"20200302522"</f>
        <v>20200302522</v>
      </c>
      <c r="E677" s="9">
        <v>62.5</v>
      </c>
      <c r="F677" s="9">
        <v>72</v>
      </c>
      <c r="G677" s="9">
        <f t="shared" si="10"/>
        <v>134.5</v>
      </c>
      <c r="H677" s="8"/>
    </row>
    <row r="678" spans="1:8" ht="22.5" customHeight="1">
      <c r="A678" s="8" t="s">
        <v>58</v>
      </c>
      <c r="B678" s="8" t="str">
        <f>"胡芸"</f>
        <v>胡芸</v>
      </c>
      <c r="C678" s="8" t="str">
        <f>"341181199210131644"</f>
        <v>341181199210131644</v>
      </c>
      <c r="D678" s="8" t="str">
        <f>"20200302713"</f>
        <v>20200302713</v>
      </c>
      <c r="E678" s="9">
        <v>64.8</v>
      </c>
      <c r="F678" s="9">
        <v>69.5</v>
      </c>
      <c r="G678" s="9">
        <f t="shared" si="10"/>
        <v>134.3</v>
      </c>
      <c r="H678" s="8"/>
    </row>
    <row r="679" spans="1:8" ht="22.5" customHeight="1">
      <c r="A679" s="8" t="s">
        <v>58</v>
      </c>
      <c r="B679" s="8" t="str">
        <f>"秦嘉伟"</f>
        <v>秦嘉伟</v>
      </c>
      <c r="C679" s="8" t="str">
        <f>"341182199212202414"</f>
        <v>341182199212202414</v>
      </c>
      <c r="D679" s="8" t="str">
        <f>"20200302320"</f>
        <v>20200302320</v>
      </c>
      <c r="E679" s="9">
        <v>64.1</v>
      </c>
      <c r="F679" s="9">
        <v>70</v>
      </c>
      <c r="G679" s="9">
        <f t="shared" si="10"/>
        <v>134.1</v>
      </c>
      <c r="H679" s="8"/>
    </row>
    <row r="680" spans="1:8" ht="22.5" customHeight="1">
      <c r="A680" s="8" t="s">
        <v>58</v>
      </c>
      <c r="B680" s="8" t="str">
        <f>"陈嘉惠"</f>
        <v>陈嘉惠</v>
      </c>
      <c r="C680" s="8" t="str">
        <f>"341182199508162247"</f>
        <v>341182199508162247</v>
      </c>
      <c r="D680" s="8" t="str">
        <f>"20200302426"</f>
        <v>20200302426</v>
      </c>
      <c r="E680" s="9">
        <v>60.4</v>
      </c>
      <c r="F680" s="9">
        <v>73.5</v>
      </c>
      <c r="G680" s="9">
        <f t="shared" si="10"/>
        <v>133.9</v>
      </c>
      <c r="H680" s="8"/>
    </row>
    <row r="681" spans="1:8" ht="22.5" customHeight="1">
      <c r="A681" s="8" t="s">
        <v>58</v>
      </c>
      <c r="B681" s="8" t="str">
        <f>"缪立嘉"</f>
        <v>缪立嘉</v>
      </c>
      <c r="C681" s="8" t="str">
        <f>"341127199209100017"</f>
        <v>341127199209100017</v>
      </c>
      <c r="D681" s="8" t="str">
        <f>"20200302608"</f>
        <v>20200302608</v>
      </c>
      <c r="E681" s="9">
        <v>64.4</v>
      </c>
      <c r="F681" s="9">
        <v>69.5</v>
      </c>
      <c r="G681" s="9">
        <f t="shared" si="10"/>
        <v>133.9</v>
      </c>
      <c r="H681" s="8"/>
    </row>
    <row r="682" spans="1:8" ht="22.5" customHeight="1">
      <c r="A682" s="8" t="s">
        <v>58</v>
      </c>
      <c r="B682" s="8" t="str">
        <f>"黄少杰"</f>
        <v>黄少杰</v>
      </c>
      <c r="C682" s="8" t="str">
        <f>"340322199006093011"</f>
        <v>340322199006093011</v>
      </c>
      <c r="D682" s="8" t="str">
        <f>"20200302625"</f>
        <v>20200302625</v>
      </c>
      <c r="E682" s="9">
        <v>64.6</v>
      </c>
      <c r="F682" s="9">
        <v>69</v>
      </c>
      <c r="G682" s="9">
        <f t="shared" si="10"/>
        <v>133.6</v>
      </c>
      <c r="H682" s="8"/>
    </row>
    <row r="683" spans="1:8" ht="22.5" customHeight="1">
      <c r="A683" s="8" t="s">
        <v>58</v>
      </c>
      <c r="B683" s="8" t="str">
        <f>"余艳"</f>
        <v>余艳</v>
      </c>
      <c r="C683" s="8" t="str">
        <f>"341182198611080229"</f>
        <v>341182198611080229</v>
      </c>
      <c r="D683" s="8" t="str">
        <f>"20200302627"</f>
        <v>20200302627</v>
      </c>
      <c r="E683" s="9">
        <v>62.8</v>
      </c>
      <c r="F683" s="9">
        <v>70.5</v>
      </c>
      <c r="G683" s="9">
        <f t="shared" si="10"/>
        <v>133.3</v>
      </c>
      <c r="H683" s="8"/>
    </row>
    <row r="684" spans="1:8" ht="22.5" customHeight="1">
      <c r="A684" s="8" t="s">
        <v>58</v>
      </c>
      <c r="B684" s="8" t="str">
        <f>"周欣"</f>
        <v>周欣</v>
      </c>
      <c r="C684" s="8" t="str">
        <f>"341103199005215428"</f>
        <v>341103199005215428</v>
      </c>
      <c r="D684" s="8" t="str">
        <f>"20200302302"</f>
        <v>20200302302</v>
      </c>
      <c r="E684" s="9">
        <v>65.1</v>
      </c>
      <c r="F684" s="9">
        <v>68</v>
      </c>
      <c r="G684" s="9">
        <f t="shared" si="10"/>
        <v>133.1</v>
      </c>
      <c r="H684" s="8"/>
    </row>
    <row r="685" spans="1:8" ht="22.5" customHeight="1">
      <c r="A685" s="8" t="s">
        <v>58</v>
      </c>
      <c r="B685" s="8" t="str">
        <f>"刘秀利"</f>
        <v>刘秀利</v>
      </c>
      <c r="C685" s="8" t="str">
        <f>"341221198911268269"</f>
        <v>341221198911268269</v>
      </c>
      <c r="D685" s="8" t="str">
        <f>"20200302322"</f>
        <v>20200302322</v>
      </c>
      <c r="E685" s="9">
        <v>60.1</v>
      </c>
      <c r="F685" s="9">
        <v>73</v>
      </c>
      <c r="G685" s="9">
        <f t="shared" si="10"/>
        <v>133.1</v>
      </c>
      <c r="H685" s="8"/>
    </row>
    <row r="686" spans="1:8" ht="22.5" customHeight="1">
      <c r="A686" s="8" t="s">
        <v>58</v>
      </c>
      <c r="B686" s="8" t="str">
        <f>"林燕"</f>
        <v>林燕</v>
      </c>
      <c r="C686" s="8" t="str">
        <f>"34118219960917022X"</f>
        <v>34118219960917022X</v>
      </c>
      <c r="D686" s="8" t="str">
        <f>"20200302727"</f>
        <v>20200302727</v>
      </c>
      <c r="E686" s="9">
        <v>59.1</v>
      </c>
      <c r="F686" s="9">
        <v>74</v>
      </c>
      <c r="G686" s="9">
        <f t="shared" si="10"/>
        <v>133.1</v>
      </c>
      <c r="H686" s="8"/>
    </row>
    <row r="687" spans="1:8" ht="22.5" customHeight="1">
      <c r="A687" s="8" t="s">
        <v>58</v>
      </c>
      <c r="B687" s="8" t="str">
        <f>"胡海峰"</f>
        <v>胡海峰</v>
      </c>
      <c r="C687" s="8" t="str">
        <f>"340322198711110070"</f>
        <v>340322198711110070</v>
      </c>
      <c r="D687" s="8" t="str">
        <f>"20200302606"</f>
        <v>20200302606</v>
      </c>
      <c r="E687" s="9">
        <v>63.5</v>
      </c>
      <c r="F687" s="9">
        <v>69</v>
      </c>
      <c r="G687" s="9">
        <f t="shared" si="10"/>
        <v>132.5</v>
      </c>
      <c r="H687" s="8"/>
    </row>
    <row r="688" spans="1:8" ht="22.5" customHeight="1">
      <c r="A688" s="8" t="s">
        <v>58</v>
      </c>
      <c r="B688" s="8" t="str">
        <f>"陈颖"</f>
        <v>陈颖</v>
      </c>
      <c r="C688" s="8" t="str">
        <f>"341182199405230024"</f>
        <v>341182199405230024</v>
      </c>
      <c r="D688" s="8" t="str">
        <f>"20200302729"</f>
        <v>20200302729</v>
      </c>
      <c r="E688" s="9">
        <v>59.4</v>
      </c>
      <c r="F688" s="9">
        <v>73</v>
      </c>
      <c r="G688" s="9">
        <f t="shared" si="10"/>
        <v>132.4</v>
      </c>
      <c r="H688" s="8"/>
    </row>
    <row r="689" spans="1:8" ht="22.5" customHeight="1">
      <c r="A689" s="8" t="s">
        <v>58</v>
      </c>
      <c r="B689" s="8" t="str">
        <f>"彭静"</f>
        <v>彭静</v>
      </c>
      <c r="C689" s="8" t="str">
        <f>"341182199312206025"</f>
        <v>341182199312206025</v>
      </c>
      <c r="D689" s="8" t="str">
        <f>"20200302304"</f>
        <v>20200302304</v>
      </c>
      <c r="E689" s="9">
        <v>60.6</v>
      </c>
      <c r="F689" s="9">
        <v>71.5</v>
      </c>
      <c r="G689" s="9">
        <f t="shared" si="10"/>
        <v>132.1</v>
      </c>
      <c r="H689" s="8"/>
    </row>
    <row r="690" spans="1:8" ht="22.5" customHeight="1">
      <c r="A690" s="8" t="s">
        <v>58</v>
      </c>
      <c r="B690" s="8" t="str">
        <f>"潘雪梅"</f>
        <v>潘雪梅</v>
      </c>
      <c r="C690" s="8" t="str">
        <f>"341181199212225820"</f>
        <v>341181199212225820</v>
      </c>
      <c r="D690" s="8" t="str">
        <f>"20200302414"</f>
        <v>20200302414</v>
      </c>
      <c r="E690" s="9">
        <v>59.5</v>
      </c>
      <c r="F690" s="9">
        <v>72.5</v>
      </c>
      <c r="G690" s="9">
        <f t="shared" si="10"/>
        <v>132</v>
      </c>
      <c r="H690" s="8"/>
    </row>
    <row r="691" spans="1:8" ht="22.5" customHeight="1">
      <c r="A691" s="8" t="s">
        <v>58</v>
      </c>
      <c r="B691" s="8" t="str">
        <f>"桑彩云"</f>
        <v>桑彩云</v>
      </c>
      <c r="C691" s="8" t="str">
        <f>"341182199201042048"</f>
        <v>341182199201042048</v>
      </c>
      <c r="D691" s="8" t="str">
        <f>"20200302505"</f>
        <v>20200302505</v>
      </c>
      <c r="E691" s="9">
        <v>62.4</v>
      </c>
      <c r="F691" s="9">
        <v>69.5</v>
      </c>
      <c r="G691" s="9">
        <f t="shared" si="10"/>
        <v>131.9</v>
      </c>
      <c r="H691" s="8"/>
    </row>
    <row r="692" spans="1:8" ht="22.5" customHeight="1">
      <c r="A692" s="8" t="s">
        <v>58</v>
      </c>
      <c r="B692" s="8" t="str">
        <f>"詹伟雪"</f>
        <v>詹伟雪</v>
      </c>
      <c r="C692" s="8" t="str">
        <f>"341182199204143020"</f>
        <v>341182199204143020</v>
      </c>
      <c r="D692" s="8" t="str">
        <f>"20200302327"</f>
        <v>20200302327</v>
      </c>
      <c r="E692" s="9">
        <v>59.9</v>
      </c>
      <c r="F692" s="9">
        <v>71.5</v>
      </c>
      <c r="G692" s="9">
        <f t="shared" si="10"/>
        <v>131.4</v>
      </c>
      <c r="H692" s="8"/>
    </row>
    <row r="693" spans="1:8" ht="22.5" customHeight="1">
      <c r="A693" s="8" t="s">
        <v>58</v>
      </c>
      <c r="B693" s="8" t="str">
        <f>"马健德"</f>
        <v>马健德</v>
      </c>
      <c r="C693" s="8" t="str">
        <f>"341127199602290013"</f>
        <v>341127199602290013</v>
      </c>
      <c r="D693" s="8" t="str">
        <f>"20200302305"</f>
        <v>20200302305</v>
      </c>
      <c r="E693" s="9">
        <v>58.8</v>
      </c>
      <c r="F693" s="9">
        <v>72.5</v>
      </c>
      <c r="G693" s="9">
        <f t="shared" si="10"/>
        <v>131.3</v>
      </c>
      <c r="H693" s="8"/>
    </row>
    <row r="694" spans="1:8" ht="22.5" customHeight="1">
      <c r="A694" s="8" t="s">
        <v>58</v>
      </c>
      <c r="B694" s="8" t="str">
        <f>"陆李超"</f>
        <v>陆李超</v>
      </c>
      <c r="C694" s="8" t="str">
        <f>"341182198902242013"</f>
        <v>341182198902242013</v>
      </c>
      <c r="D694" s="8" t="str">
        <f>"20200302801"</f>
        <v>20200302801</v>
      </c>
      <c r="E694" s="9">
        <v>58.8</v>
      </c>
      <c r="F694" s="9">
        <v>72.5</v>
      </c>
      <c r="G694" s="9">
        <f t="shared" si="10"/>
        <v>131.3</v>
      </c>
      <c r="H694" s="8"/>
    </row>
    <row r="695" spans="1:8" ht="22.5" customHeight="1">
      <c r="A695" s="8" t="s">
        <v>58</v>
      </c>
      <c r="B695" s="8" t="str">
        <f>"马笑"</f>
        <v>马笑</v>
      </c>
      <c r="C695" s="8" t="str">
        <f>"341182199310020630"</f>
        <v>341182199310020630</v>
      </c>
      <c r="D695" s="8" t="str">
        <f>"20200302419"</f>
        <v>20200302419</v>
      </c>
      <c r="E695" s="9">
        <v>61.1</v>
      </c>
      <c r="F695" s="9">
        <v>69.5</v>
      </c>
      <c r="G695" s="9">
        <f t="shared" si="10"/>
        <v>130.6</v>
      </c>
      <c r="H695" s="8"/>
    </row>
    <row r="696" spans="1:8" ht="22.5" customHeight="1">
      <c r="A696" s="8" t="s">
        <v>58</v>
      </c>
      <c r="B696" s="8" t="str">
        <f>"王蕊进"</f>
        <v>王蕊进</v>
      </c>
      <c r="C696" s="8" t="str">
        <f>"341182199503146440"</f>
        <v>341182199503146440</v>
      </c>
      <c r="D696" s="8" t="str">
        <f>"20200302504"</f>
        <v>20200302504</v>
      </c>
      <c r="E696" s="9">
        <v>59.5</v>
      </c>
      <c r="F696" s="9">
        <v>71</v>
      </c>
      <c r="G696" s="9">
        <f t="shared" si="10"/>
        <v>130.5</v>
      </c>
      <c r="H696" s="8"/>
    </row>
    <row r="697" spans="1:8" ht="22.5" customHeight="1">
      <c r="A697" s="8" t="s">
        <v>58</v>
      </c>
      <c r="B697" s="8" t="str">
        <f>"汤雪玲"</f>
        <v>汤雪玲</v>
      </c>
      <c r="C697" s="8" t="str">
        <f>"341182199408081642"</f>
        <v>341182199408081642</v>
      </c>
      <c r="D697" s="8" t="str">
        <f>"20200302404"</f>
        <v>20200302404</v>
      </c>
      <c r="E697" s="9">
        <v>54.8</v>
      </c>
      <c r="F697" s="9">
        <v>75.5</v>
      </c>
      <c r="G697" s="9">
        <f t="shared" si="10"/>
        <v>130.3</v>
      </c>
      <c r="H697" s="8"/>
    </row>
    <row r="698" spans="1:8" ht="22.5" customHeight="1">
      <c r="A698" s="8" t="s">
        <v>58</v>
      </c>
      <c r="B698" s="8" t="str">
        <f>"傅苏琪"</f>
        <v>傅苏琪</v>
      </c>
      <c r="C698" s="8" t="str">
        <f>"341182199012250227"</f>
        <v>341182199012250227</v>
      </c>
      <c r="D698" s="8" t="str">
        <f>"20200302416"</f>
        <v>20200302416</v>
      </c>
      <c r="E698" s="9">
        <v>59.6</v>
      </c>
      <c r="F698" s="9">
        <v>70.5</v>
      </c>
      <c r="G698" s="9">
        <f t="shared" si="10"/>
        <v>130.1</v>
      </c>
      <c r="H698" s="8"/>
    </row>
    <row r="699" spans="1:8" ht="22.5" customHeight="1">
      <c r="A699" s="8" t="s">
        <v>58</v>
      </c>
      <c r="B699" s="8" t="str">
        <f>"马昭辉"</f>
        <v>马昭辉</v>
      </c>
      <c r="C699" s="8" t="str">
        <f>"341203198703050617"</f>
        <v>341203198703050617</v>
      </c>
      <c r="D699" s="8" t="str">
        <f>"20200302909"</f>
        <v>20200302909</v>
      </c>
      <c r="E699" s="9">
        <v>62.1</v>
      </c>
      <c r="F699" s="9">
        <v>68</v>
      </c>
      <c r="G699" s="9">
        <f t="shared" si="10"/>
        <v>130.1</v>
      </c>
      <c r="H699" s="8"/>
    </row>
    <row r="700" spans="1:8" ht="22.5" customHeight="1">
      <c r="A700" s="8" t="s">
        <v>58</v>
      </c>
      <c r="B700" s="8" t="str">
        <f>"朱永智"</f>
        <v>朱永智</v>
      </c>
      <c r="C700" s="8" t="str">
        <f>"341182199601310611"</f>
        <v>341182199601310611</v>
      </c>
      <c r="D700" s="8" t="str">
        <f>"20200302311"</f>
        <v>20200302311</v>
      </c>
      <c r="E700" s="9">
        <v>61.2</v>
      </c>
      <c r="F700" s="9">
        <v>68.5</v>
      </c>
      <c r="G700" s="9">
        <f t="shared" si="10"/>
        <v>129.7</v>
      </c>
      <c r="H700" s="8"/>
    </row>
    <row r="701" spans="1:8" ht="22.5" customHeight="1">
      <c r="A701" s="8" t="s">
        <v>58</v>
      </c>
      <c r="B701" s="8" t="str">
        <f>"冯才元"</f>
        <v>冯才元</v>
      </c>
      <c r="C701" s="8" t="str">
        <f>"34118119951210561X"</f>
        <v>34118119951210561X</v>
      </c>
      <c r="D701" s="8" t="str">
        <f>"20200302721"</f>
        <v>20200302721</v>
      </c>
      <c r="E701" s="9">
        <v>58.1</v>
      </c>
      <c r="F701" s="9">
        <v>71.5</v>
      </c>
      <c r="G701" s="9">
        <f t="shared" si="10"/>
        <v>129.6</v>
      </c>
      <c r="H701" s="8"/>
    </row>
    <row r="702" spans="1:8" ht="22.5" customHeight="1">
      <c r="A702" s="8" t="s">
        <v>58</v>
      </c>
      <c r="B702" s="8" t="str">
        <f>"吴飞"</f>
        <v>吴飞</v>
      </c>
      <c r="C702" s="8" t="str">
        <f>"341182199310244618"</f>
        <v>341182199310244618</v>
      </c>
      <c r="D702" s="8" t="str">
        <f>"20200302613"</f>
        <v>20200302613</v>
      </c>
      <c r="E702" s="9">
        <v>62.5</v>
      </c>
      <c r="F702" s="9">
        <v>67</v>
      </c>
      <c r="G702" s="9">
        <f t="shared" si="10"/>
        <v>129.5</v>
      </c>
      <c r="H702" s="8"/>
    </row>
    <row r="703" spans="1:8" ht="22.5" customHeight="1">
      <c r="A703" s="8" t="s">
        <v>58</v>
      </c>
      <c r="B703" s="8" t="str">
        <f>"程烨"</f>
        <v>程烨</v>
      </c>
      <c r="C703" s="8" t="str">
        <f>"340826199209290093"</f>
        <v>340826199209290093</v>
      </c>
      <c r="D703" s="8" t="str">
        <f>"20200302621"</f>
        <v>20200302621</v>
      </c>
      <c r="E703" s="9">
        <v>56.4</v>
      </c>
      <c r="F703" s="9">
        <v>73</v>
      </c>
      <c r="G703" s="9">
        <f t="shared" si="10"/>
        <v>129.4</v>
      </c>
      <c r="H703" s="8"/>
    </row>
    <row r="704" spans="1:8" ht="22.5" customHeight="1">
      <c r="A704" s="8" t="s">
        <v>58</v>
      </c>
      <c r="B704" s="8" t="str">
        <f>"徐昊"</f>
        <v>徐昊</v>
      </c>
      <c r="C704" s="8" t="str">
        <f>"341182199511100434"</f>
        <v>341182199511100434</v>
      </c>
      <c r="D704" s="8" t="str">
        <f>"20200302427"</f>
        <v>20200302427</v>
      </c>
      <c r="E704" s="9">
        <v>61.7</v>
      </c>
      <c r="F704" s="9">
        <v>67.5</v>
      </c>
      <c r="G704" s="9">
        <f t="shared" si="10"/>
        <v>129.2</v>
      </c>
      <c r="H704" s="8"/>
    </row>
    <row r="705" spans="1:8" ht="22.5" customHeight="1">
      <c r="A705" s="8" t="s">
        <v>58</v>
      </c>
      <c r="B705" s="8" t="str">
        <f>"陶皓"</f>
        <v>陶皓</v>
      </c>
      <c r="C705" s="8" t="str">
        <f>"340304198712210652"</f>
        <v>340304198712210652</v>
      </c>
      <c r="D705" s="8" t="str">
        <f>"20200302423"</f>
        <v>20200302423</v>
      </c>
      <c r="E705" s="9">
        <v>62.1</v>
      </c>
      <c r="F705" s="9">
        <v>67</v>
      </c>
      <c r="G705" s="9">
        <f t="shared" si="10"/>
        <v>129.1</v>
      </c>
      <c r="H705" s="8"/>
    </row>
    <row r="706" spans="1:8" ht="22.5" customHeight="1">
      <c r="A706" s="8" t="s">
        <v>58</v>
      </c>
      <c r="B706" s="8" t="str">
        <f>"孙政"</f>
        <v>孙政</v>
      </c>
      <c r="C706" s="8" t="str">
        <f>"341182198607032419"</f>
        <v>341182198607032419</v>
      </c>
      <c r="D706" s="8" t="str">
        <f>"20200302407"</f>
        <v>20200302407</v>
      </c>
      <c r="E706" s="9">
        <v>65.5</v>
      </c>
      <c r="F706" s="9">
        <v>63.5</v>
      </c>
      <c r="G706" s="9">
        <f t="shared" si="10"/>
        <v>129</v>
      </c>
      <c r="H706" s="8"/>
    </row>
    <row r="707" spans="1:8" ht="22.5" customHeight="1">
      <c r="A707" s="8" t="s">
        <v>58</v>
      </c>
      <c r="B707" s="8" t="str">
        <f>"彭鹏"</f>
        <v>彭鹏</v>
      </c>
      <c r="C707" s="8" t="str">
        <f>"341182199112150442"</f>
        <v>341182199112150442</v>
      </c>
      <c r="D707" s="8" t="str">
        <f>"20200302604"</f>
        <v>20200302604</v>
      </c>
      <c r="E707" s="9">
        <v>57.9</v>
      </c>
      <c r="F707" s="9">
        <v>71</v>
      </c>
      <c r="G707" s="9">
        <f aca="true" t="shared" si="11" ref="G707:G770">E707+F707</f>
        <v>128.9</v>
      </c>
      <c r="H707" s="8"/>
    </row>
    <row r="708" spans="1:8" ht="22.5" customHeight="1">
      <c r="A708" s="8" t="s">
        <v>58</v>
      </c>
      <c r="B708" s="8" t="str">
        <f>"陆阳"</f>
        <v>陆阳</v>
      </c>
      <c r="C708" s="8" t="str">
        <f>"341126199602061521"</f>
        <v>341126199602061521</v>
      </c>
      <c r="D708" s="8" t="str">
        <f>"20200302812"</f>
        <v>20200302812</v>
      </c>
      <c r="E708" s="9">
        <v>61.9</v>
      </c>
      <c r="F708" s="9">
        <v>67</v>
      </c>
      <c r="G708" s="9">
        <f t="shared" si="11"/>
        <v>128.9</v>
      </c>
      <c r="H708" s="8"/>
    </row>
    <row r="709" spans="1:8" ht="22.5" customHeight="1">
      <c r="A709" s="8" t="s">
        <v>58</v>
      </c>
      <c r="B709" s="8" t="str">
        <f>"刘畅"</f>
        <v>刘畅</v>
      </c>
      <c r="C709" s="8" t="str">
        <f>"341182199301016226"</f>
        <v>341182199301016226</v>
      </c>
      <c r="D709" s="8" t="str">
        <f>"20200302424"</f>
        <v>20200302424</v>
      </c>
      <c r="E709" s="9">
        <v>58.8</v>
      </c>
      <c r="F709" s="9">
        <v>70</v>
      </c>
      <c r="G709" s="9">
        <f t="shared" si="11"/>
        <v>128.8</v>
      </c>
      <c r="H709" s="8"/>
    </row>
    <row r="710" spans="1:8" ht="22.5" customHeight="1">
      <c r="A710" s="8" t="s">
        <v>58</v>
      </c>
      <c r="B710" s="8" t="str">
        <f>"赵昱"</f>
        <v>赵昱</v>
      </c>
      <c r="C710" s="8" t="str">
        <f>"34222219870316602X"</f>
        <v>34222219870316602X</v>
      </c>
      <c r="D710" s="8" t="str">
        <f>"20200302430"</f>
        <v>20200302430</v>
      </c>
      <c r="E710" s="9">
        <v>54.7</v>
      </c>
      <c r="F710" s="9">
        <v>74</v>
      </c>
      <c r="G710" s="9">
        <f t="shared" si="11"/>
        <v>128.7</v>
      </c>
      <c r="H710" s="8"/>
    </row>
    <row r="711" spans="1:8" ht="22.5" customHeight="1">
      <c r="A711" s="8" t="s">
        <v>58</v>
      </c>
      <c r="B711" s="8" t="str">
        <f>"陈思燕"</f>
        <v>陈思燕</v>
      </c>
      <c r="C711" s="8" t="str">
        <f>"341181199606205427"</f>
        <v>341181199606205427</v>
      </c>
      <c r="D711" s="8" t="str">
        <f>"20200302611"</f>
        <v>20200302611</v>
      </c>
      <c r="E711" s="9">
        <v>58.7</v>
      </c>
      <c r="F711" s="9">
        <v>70</v>
      </c>
      <c r="G711" s="9">
        <f t="shared" si="11"/>
        <v>128.7</v>
      </c>
      <c r="H711" s="8"/>
    </row>
    <row r="712" spans="1:8" ht="22.5" customHeight="1">
      <c r="A712" s="8" t="s">
        <v>58</v>
      </c>
      <c r="B712" s="8" t="str">
        <f>"阮持祥"</f>
        <v>阮持祥</v>
      </c>
      <c r="C712" s="8" t="str">
        <f>"340322199105147839"</f>
        <v>340322199105147839</v>
      </c>
      <c r="D712" s="8" t="str">
        <f>"20200302326"</f>
        <v>20200302326</v>
      </c>
      <c r="E712" s="9">
        <v>59.7</v>
      </c>
      <c r="F712" s="9">
        <v>68.5</v>
      </c>
      <c r="G712" s="9">
        <f t="shared" si="11"/>
        <v>128.2</v>
      </c>
      <c r="H712" s="8"/>
    </row>
    <row r="713" spans="1:8" ht="22.5" customHeight="1">
      <c r="A713" s="8" t="s">
        <v>58</v>
      </c>
      <c r="B713" s="8" t="str">
        <f>"刘越"</f>
        <v>刘越</v>
      </c>
      <c r="C713" s="8" t="str">
        <f>"341181199110010255"</f>
        <v>341181199110010255</v>
      </c>
      <c r="D713" s="8" t="str">
        <f>"20200302629"</f>
        <v>20200302629</v>
      </c>
      <c r="E713" s="9">
        <v>55.2</v>
      </c>
      <c r="F713" s="9">
        <v>73</v>
      </c>
      <c r="G713" s="9">
        <f t="shared" si="11"/>
        <v>128.2</v>
      </c>
      <c r="H713" s="8"/>
    </row>
    <row r="714" spans="1:8" ht="22.5" customHeight="1">
      <c r="A714" s="8" t="s">
        <v>58</v>
      </c>
      <c r="B714" s="8" t="str">
        <f>"傅宏伟"</f>
        <v>傅宏伟</v>
      </c>
      <c r="C714" s="8" t="str">
        <f>"34112619941031001X"</f>
        <v>34112619941031001X</v>
      </c>
      <c r="D714" s="8" t="str">
        <f>"20200302216"</f>
        <v>20200302216</v>
      </c>
      <c r="E714" s="9">
        <v>57.6</v>
      </c>
      <c r="F714" s="9">
        <v>70.5</v>
      </c>
      <c r="G714" s="9">
        <f t="shared" si="11"/>
        <v>128.1</v>
      </c>
      <c r="H714" s="8"/>
    </row>
    <row r="715" spans="1:8" ht="22.5" customHeight="1">
      <c r="A715" s="8" t="s">
        <v>58</v>
      </c>
      <c r="B715" s="8" t="str">
        <f>"徐甜甜"</f>
        <v>徐甜甜</v>
      </c>
      <c r="C715" s="8" t="str">
        <f>"341181199112181023"</f>
        <v>341181199112181023</v>
      </c>
      <c r="D715" s="8" t="str">
        <f>"20200302719"</f>
        <v>20200302719</v>
      </c>
      <c r="E715" s="9">
        <v>57.6</v>
      </c>
      <c r="F715" s="9">
        <v>70.5</v>
      </c>
      <c r="G715" s="9">
        <f t="shared" si="11"/>
        <v>128.1</v>
      </c>
      <c r="H715" s="8"/>
    </row>
    <row r="716" spans="1:8" ht="22.5" customHeight="1">
      <c r="A716" s="8" t="s">
        <v>58</v>
      </c>
      <c r="B716" s="8" t="str">
        <f>"庆韶蒙"</f>
        <v>庆韶蒙</v>
      </c>
      <c r="C716" s="8" t="str">
        <f>"341182199111260420"</f>
        <v>341182199111260420</v>
      </c>
      <c r="D716" s="8" t="str">
        <f>"20200302807"</f>
        <v>20200302807</v>
      </c>
      <c r="E716" s="9">
        <v>63.1</v>
      </c>
      <c r="F716" s="9">
        <v>65</v>
      </c>
      <c r="G716" s="9">
        <f t="shared" si="11"/>
        <v>128.1</v>
      </c>
      <c r="H716" s="8"/>
    </row>
    <row r="717" spans="1:8" ht="22.5" customHeight="1">
      <c r="A717" s="8" t="s">
        <v>58</v>
      </c>
      <c r="B717" s="8" t="str">
        <f>"吴祝青"</f>
        <v>吴祝青</v>
      </c>
      <c r="C717" s="8" t="str">
        <f>"340827199207076313"</f>
        <v>340827199207076313</v>
      </c>
      <c r="D717" s="8" t="str">
        <f>"20200302511"</f>
        <v>20200302511</v>
      </c>
      <c r="E717" s="9">
        <v>56.4</v>
      </c>
      <c r="F717" s="9">
        <v>71.5</v>
      </c>
      <c r="G717" s="9">
        <f t="shared" si="11"/>
        <v>127.9</v>
      </c>
      <c r="H717" s="8"/>
    </row>
    <row r="718" spans="1:8" ht="22.5" customHeight="1">
      <c r="A718" s="8" t="s">
        <v>58</v>
      </c>
      <c r="B718" s="8" t="str">
        <f>"苗妙"</f>
        <v>苗妙</v>
      </c>
      <c r="C718" s="8" t="str">
        <f>"341122199307080468"</f>
        <v>341122199307080468</v>
      </c>
      <c r="D718" s="8" t="str">
        <f>"20200302726"</f>
        <v>20200302726</v>
      </c>
      <c r="E718" s="9">
        <v>56.9</v>
      </c>
      <c r="F718" s="9">
        <v>71</v>
      </c>
      <c r="G718" s="9">
        <f t="shared" si="11"/>
        <v>127.9</v>
      </c>
      <c r="H718" s="8"/>
    </row>
    <row r="719" spans="1:8" ht="22.5" customHeight="1">
      <c r="A719" s="8" t="s">
        <v>58</v>
      </c>
      <c r="B719" s="8" t="str">
        <f>"陈静"</f>
        <v>陈静</v>
      </c>
      <c r="C719" s="8" t="str">
        <f>"341182199007222424"</f>
        <v>341182199007222424</v>
      </c>
      <c r="D719" s="8" t="str">
        <f>"20200302824"</f>
        <v>20200302824</v>
      </c>
      <c r="E719" s="9">
        <v>57.4</v>
      </c>
      <c r="F719" s="9">
        <v>70.5</v>
      </c>
      <c r="G719" s="9">
        <f t="shared" si="11"/>
        <v>127.9</v>
      </c>
      <c r="H719" s="8"/>
    </row>
    <row r="720" spans="1:8" ht="22.5" customHeight="1">
      <c r="A720" s="8" t="s">
        <v>58</v>
      </c>
      <c r="B720" s="8" t="str">
        <f>"吴承远"</f>
        <v>吴承远</v>
      </c>
      <c r="C720" s="8" t="str">
        <f>"341182199601030011"</f>
        <v>341182199601030011</v>
      </c>
      <c r="D720" s="8" t="str">
        <f>"20200302506"</f>
        <v>20200302506</v>
      </c>
      <c r="E720" s="9">
        <v>52.1</v>
      </c>
      <c r="F720" s="9">
        <v>75.5</v>
      </c>
      <c r="G720" s="9">
        <f t="shared" si="11"/>
        <v>127.6</v>
      </c>
      <c r="H720" s="8"/>
    </row>
    <row r="721" spans="1:8" ht="22.5" customHeight="1">
      <c r="A721" s="8" t="s">
        <v>58</v>
      </c>
      <c r="B721" s="8" t="str">
        <f>"詹荣荣"</f>
        <v>詹荣荣</v>
      </c>
      <c r="C721" s="8" t="str">
        <f>"341182199001173043"</f>
        <v>341182199001173043</v>
      </c>
      <c r="D721" s="8" t="str">
        <f>"20200302724"</f>
        <v>20200302724</v>
      </c>
      <c r="E721" s="9">
        <v>60.1</v>
      </c>
      <c r="F721" s="9">
        <v>67.5</v>
      </c>
      <c r="G721" s="9">
        <f t="shared" si="11"/>
        <v>127.6</v>
      </c>
      <c r="H721" s="8"/>
    </row>
    <row r="722" spans="1:8" ht="22.5" customHeight="1">
      <c r="A722" s="8" t="s">
        <v>58</v>
      </c>
      <c r="B722" s="8" t="str">
        <f>"徐婷芳"</f>
        <v>徐婷芳</v>
      </c>
      <c r="C722" s="8" t="str">
        <f>"341182199511110026"</f>
        <v>341182199511110026</v>
      </c>
      <c r="D722" s="8" t="str">
        <f>"20200302510"</f>
        <v>20200302510</v>
      </c>
      <c r="E722" s="9">
        <v>50.5</v>
      </c>
      <c r="F722" s="9">
        <v>76.5</v>
      </c>
      <c r="G722" s="9">
        <f t="shared" si="11"/>
        <v>127</v>
      </c>
      <c r="H722" s="8"/>
    </row>
    <row r="723" spans="1:8" ht="22.5" customHeight="1">
      <c r="A723" s="8" t="s">
        <v>58</v>
      </c>
      <c r="B723" s="8" t="str">
        <f>"高方凯"</f>
        <v>高方凯</v>
      </c>
      <c r="C723" s="8" t="str">
        <f>"341182199404071818"</f>
        <v>341182199404071818</v>
      </c>
      <c r="D723" s="8" t="str">
        <f>"20200302709"</f>
        <v>20200302709</v>
      </c>
      <c r="E723" s="9">
        <v>61.4</v>
      </c>
      <c r="F723" s="9">
        <v>65.5</v>
      </c>
      <c r="G723" s="9">
        <f t="shared" si="11"/>
        <v>126.9</v>
      </c>
      <c r="H723" s="8"/>
    </row>
    <row r="724" spans="1:8" ht="22.5" customHeight="1">
      <c r="A724" s="8" t="s">
        <v>58</v>
      </c>
      <c r="B724" s="8" t="str">
        <f>"孟旭"</f>
        <v>孟旭</v>
      </c>
      <c r="C724" s="8" t="str">
        <f>"341182199704052619"</f>
        <v>341182199704052619</v>
      </c>
      <c r="D724" s="8" t="str">
        <f>"20200302429"</f>
        <v>20200302429</v>
      </c>
      <c r="E724" s="9">
        <v>60.8</v>
      </c>
      <c r="F724" s="9">
        <v>66</v>
      </c>
      <c r="G724" s="9">
        <f t="shared" si="11"/>
        <v>126.8</v>
      </c>
      <c r="H724" s="8"/>
    </row>
    <row r="725" spans="1:8" ht="22.5" customHeight="1">
      <c r="A725" s="8" t="s">
        <v>58</v>
      </c>
      <c r="B725" s="8" t="str">
        <f>"张琴"</f>
        <v>张琴</v>
      </c>
      <c r="C725" s="8" t="str">
        <f>"341102199308182428"</f>
        <v>341102199308182428</v>
      </c>
      <c r="D725" s="8" t="str">
        <f>"20200302803"</f>
        <v>20200302803</v>
      </c>
      <c r="E725" s="9">
        <v>56.6</v>
      </c>
      <c r="F725" s="9">
        <v>70</v>
      </c>
      <c r="G725" s="9">
        <f t="shared" si="11"/>
        <v>126.6</v>
      </c>
      <c r="H725" s="8"/>
    </row>
    <row r="726" spans="1:8" ht="22.5" customHeight="1">
      <c r="A726" s="8" t="s">
        <v>58</v>
      </c>
      <c r="B726" s="8" t="str">
        <f>"刘文轩"</f>
        <v>刘文轩</v>
      </c>
      <c r="C726" s="8" t="str">
        <f>"341182199409092642"</f>
        <v>341182199409092642</v>
      </c>
      <c r="D726" s="8" t="str">
        <f>"20200302402"</f>
        <v>20200302402</v>
      </c>
      <c r="E726" s="9">
        <v>56</v>
      </c>
      <c r="F726" s="9">
        <v>70</v>
      </c>
      <c r="G726" s="9">
        <f t="shared" si="11"/>
        <v>126</v>
      </c>
      <c r="H726" s="8"/>
    </row>
    <row r="727" spans="1:8" ht="22.5" customHeight="1">
      <c r="A727" s="8" t="s">
        <v>58</v>
      </c>
      <c r="B727" s="8" t="str">
        <f>"曹健"</f>
        <v>曹健</v>
      </c>
      <c r="C727" s="8" t="str">
        <f>"341182199108163013"</f>
        <v>341182199108163013</v>
      </c>
      <c r="D727" s="8" t="str">
        <f>"20200302814"</f>
        <v>20200302814</v>
      </c>
      <c r="E727" s="9">
        <v>59</v>
      </c>
      <c r="F727" s="9">
        <v>67</v>
      </c>
      <c r="G727" s="9">
        <f t="shared" si="11"/>
        <v>126</v>
      </c>
      <c r="H727" s="8"/>
    </row>
    <row r="728" spans="1:8" ht="22.5" customHeight="1">
      <c r="A728" s="8" t="s">
        <v>58</v>
      </c>
      <c r="B728" s="8" t="str">
        <f>"陈远"</f>
        <v>陈远</v>
      </c>
      <c r="C728" s="8" t="str">
        <f>"340322199204250057"</f>
        <v>340322199204250057</v>
      </c>
      <c r="D728" s="8" t="str">
        <f>"20200302725"</f>
        <v>20200302725</v>
      </c>
      <c r="E728" s="9">
        <v>54.4</v>
      </c>
      <c r="F728" s="9">
        <v>71.5</v>
      </c>
      <c r="G728" s="9">
        <f t="shared" si="11"/>
        <v>125.9</v>
      </c>
      <c r="H728" s="8"/>
    </row>
    <row r="729" spans="1:8" ht="22.5" customHeight="1">
      <c r="A729" s="8" t="s">
        <v>58</v>
      </c>
      <c r="B729" s="8" t="str">
        <f>"史新源"</f>
        <v>史新源</v>
      </c>
      <c r="C729" s="8" t="str">
        <f>"341182199301261213"</f>
        <v>341182199301261213</v>
      </c>
      <c r="D729" s="8" t="str">
        <f>"20200302603"</f>
        <v>20200302603</v>
      </c>
      <c r="E729" s="9">
        <v>55.8</v>
      </c>
      <c r="F729" s="9">
        <v>70</v>
      </c>
      <c r="G729" s="9">
        <f t="shared" si="11"/>
        <v>125.8</v>
      </c>
      <c r="H729" s="8"/>
    </row>
    <row r="730" spans="1:8" ht="22.5" customHeight="1">
      <c r="A730" s="8" t="s">
        <v>58</v>
      </c>
      <c r="B730" s="8" t="str">
        <f>"范文奕"</f>
        <v>范文奕</v>
      </c>
      <c r="C730" s="8" t="str">
        <f>"341182199309130242"</f>
        <v>341182199309130242</v>
      </c>
      <c r="D730" s="8" t="str">
        <f>"20200302529"</f>
        <v>20200302529</v>
      </c>
      <c r="E730" s="9">
        <v>55.7</v>
      </c>
      <c r="F730" s="9">
        <v>70</v>
      </c>
      <c r="G730" s="9">
        <f t="shared" si="11"/>
        <v>125.7</v>
      </c>
      <c r="H730" s="8"/>
    </row>
    <row r="731" spans="1:8" ht="22.5" customHeight="1">
      <c r="A731" s="8" t="s">
        <v>58</v>
      </c>
      <c r="B731" s="8" t="str">
        <f>"姜志顺"</f>
        <v>姜志顺</v>
      </c>
      <c r="C731" s="8" t="str">
        <f>"341182198907013615"</f>
        <v>341182198907013615</v>
      </c>
      <c r="D731" s="8" t="str">
        <f>"20200302811"</f>
        <v>20200302811</v>
      </c>
      <c r="E731" s="9">
        <v>58.5</v>
      </c>
      <c r="F731" s="9">
        <v>67</v>
      </c>
      <c r="G731" s="9">
        <f t="shared" si="11"/>
        <v>125.5</v>
      </c>
      <c r="H731" s="8"/>
    </row>
    <row r="732" spans="1:8" ht="22.5" customHeight="1">
      <c r="A732" s="8" t="s">
        <v>58</v>
      </c>
      <c r="B732" s="8" t="str">
        <f>"丁加旺"</f>
        <v>丁加旺</v>
      </c>
      <c r="C732" s="8" t="str">
        <f>"341182199305225818"</f>
        <v>341182199305225818</v>
      </c>
      <c r="D732" s="8" t="str">
        <f>"20200302829"</f>
        <v>20200302829</v>
      </c>
      <c r="E732" s="9">
        <v>58.8</v>
      </c>
      <c r="F732" s="9">
        <v>66.5</v>
      </c>
      <c r="G732" s="9">
        <f t="shared" si="11"/>
        <v>125.3</v>
      </c>
      <c r="H732" s="8"/>
    </row>
    <row r="733" spans="1:8" ht="22.5" customHeight="1">
      <c r="A733" s="8" t="s">
        <v>58</v>
      </c>
      <c r="B733" s="8" t="str">
        <f>"陈晨"</f>
        <v>陈晨</v>
      </c>
      <c r="C733" s="8" t="str">
        <f>"34112219901228261X"</f>
        <v>34112219901228261X</v>
      </c>
      <c r="D733" s="8" t="str">
        <f>"20200302905"</f>
        <v>20200302905</v>
      </c>
      <c r="E733" s="9">
        <v>53.5</v>
      </c>
      <c r="F733" s="9">
        <v>71.5</v>
      </c>
      <c r="G733" s="9">
        <f t="shared" si="11"/>
        <v>125</v>
      </c>
      <c r="H733" s="8"/>
    </row>
    <row r="734" spans="1:8" ht="22.5" customHeight="1">
      <c r="A734" s="8" t="s">
        <v>58</v>
      </c>
      <c r="B734" s="8" t="str">
        <f>"戴成"</f>
        <v>戴成</v>
      </c>
      <c r="C734" s="8" t="str">
        <f>"341125199104041097"</f>
        <v>341125199104041097</v>
      </c>
      <c r="D734" s="8" t="str">
        <f>"20200302728"</f>
        <v>20200302728</v>
      </c>
      <c r="E734" s="9">
        <v>53.4</v>
      </c>
      <c r="F734" s="9">
        <v>71.5</v>
      </c>
      <c r="G734" s="9">
        <f t="shared" si="11"/>
        <v>124.9</v>
      </c>
      <c r="H734" s="8"/>
    </row>
    <row r="735" spans="1:8" ht="22.5" customHeight="1">
      <c r="A735" s="8" t="s">
        <v>58</v>
      </c>
      <c r="B735" s="8" t="str">
        <f>"倪明明"</f>
        <v>倪明明</v>
      </c>
      <c r="C735" s="8" t="str">
        <f>"341182198905011210"</f>
        <v>341182198905011210</v>
      </c>
      <c r="D735" s="8" t="str">
        <f>"20200302513"</f>
        <v>20200302513</v>
      </c>
      <c r="E735" s="9">
        <v>49.3</v>
      </c>
      <c r="F735" s="9">
        <v>75.5</v>
      </c>
      <c r="G735" s="9">
        <f t="shared" si="11"/>
        <v>124.8</v>
      </c>
      <c r="H735" s="8"/>
    </row>
    <row r="736" spans="1:8" ht="22.5" customHeight="1">
      <c r="A736" s="8" t="s">
        <v>58</v>
      </c>
      <c r="B736" s="8" t="str">
        <f>"周影"</f>
        <v>周影</v>
      </c>
      <c r="C736" s="8" t="str">
        <f>"320830199401132627"</f>
        <v>320830199401132627</v>
      </c>
      <c r="D736" s="8" t="str">
        <f>"20200302815"</f>
        <v>20200302815</v>
      </c>
      <c r="E736" s="9">
        <v>53.8</v>
      </c>
      <c r="F736" s="9">
        <v>71</v>
      </c>
      <c r="G736" s="9">
        <f t="shared" si="11"/>
        <v>124.8</v>
      </c>
      <c r="H736" s="8"/>
    </row>
    <row r="737" spans="1:8" ht="22.5" customHeight="1">
      <c r="A737" s="8" t="s">
        <v>58</v>
      </c>
      <c r="B737" s="8" t="str">
        <f>"卓静"</f>
        <v>卓静</v>
      </c>
      <c r="C737" s="8" t="str">
        <f>"341182199209125446"</f>
        <v>341182199209125446</v>
      </c>
      <c r="D737" s="8" t="str">
        <f>"20200302221"</f>
        <v>20200302221</v>
      </c>
      <c r="E737" s="9">
        <v>51.4</v>
      </c>
      <c r="F737" s="9">
        <v>73</v>
      </c>
      <c r="G737" s="9">
        <f t="shared" si="11"/>
        <v>124.4</v>
      </c>
      <c r="H737" s="8"/>
    </row>
    <row r="738" spans="1:8" ht="22.5" customHeight="1">
      <c r="A738" s="8" t="s">
        <v>58</v>
      </c>
      <c r="B738" s="8" t="str">
        <f>"武宇辰"</f>
        <v>武宇辰</v>
      </c>
      <c r="C738" s="8" t="str">
        <f>"341126199301311216"</f>
        <v>341126199301311216</v>
      </c>
      <c r="D738" s="8" t="str">
        <f>"20200302626"</f>
        <v>20200302626</v>
      </c>
      <c r="E738" s="9">
        <v>56.4</v>
      </c>
      <c r="F738" s="9">
        <v>68</v>
      </c>
      <c r="G738" s="9">
        <f t="shared" si="11"/>
        <v>124.4</v>
      </c>
      <c r="H738" s="8"/>
    </row>
    <row r="739" spans="1:8" ht="22.5" customHeight="1">
      <c r="A739" s="8" t="s">
        <v>58</v>
      </c>
      <c r="B739" s="8" t="str">
        <f>"朱贤松"</f>
        <v>朱贤松</v>
      </c>
      <c r="C739" s="8" t="str">
        <f>"341182199407152410"</f>
        <v>341182199407152410</v>
      </c>
      <c r="D739" s="8" t="str">
        <f>"20200302820"</f>
        <v>20200302820</v>
      </c>
      <c r="E739" s="9">
        <v>55.6</v>
      </c>
      <c r="F739" s="9">
        <v>68.5</v>
      </c>
      <c r="G739" s="9">
        <f t="shared" si="11"/>
        <v>124.1</v>
      </c>
      <c r="H739" s="8"/>
    </row>
    <row r="740" spans="1:8" ht="22.5" customHeight="1">
      <c r="A740" s="8" t="s">
        <v>58</v>
      </c>
      <c r="B740" s="8" t="str">
        <f>"李敏"</f>
        <v>李敏</v>
      </c>
      <c r="C740" s="8" t="str">
        <f>"341127199103204221"</f>
        <v>341127199103204221</v>
      </c>
      <c r="D740" s="8" t="str">
        <f>"20200302804"</f>
        <v>20200302804</v>
      </c>
      <c r="E740" s="9">
        <v>57.7</v>
      </c>
      <c r="F740" s="9">
        <v>66</v>
      </c>
      <c r="G740" s="9">
        <f t="shared" si="11"/>
        <v>123.7</v>
      </c>
      <c r="H740" s="8"/>
    </row>
    <row r="741" spans="1:8" ht="22.5" customHeight="1">
      <c r="A741" s="8" t="s">
        <v>58</v>
      </c>
      <c r="B741" s="8" t="str">
        <f>"董殿晖"</f>
        <v>董殿晖</v>
      </c>
      <c r="C741" s="8" t="str">
        <f>"341102199511140610"</f>
        <v>341102199511140610</v>
      </c>
      <c r="D741" s="8" t="str">
        <f>"20200302303"</f>
        <v>20200302303</v>
      </c>
      <c r="E741" s="9">
        <v>57.5</v>
      </c>
      <c r="F741" s="9">
        <v>66</v>
      </c>
      <c r="G741" s="9">
        <f t="shared" si="11"/>
        <v>123.5</v>
      </c>
      <c r="H741" s="8"/>
    </row>
    <row r="742" spans="1:8" ht="22.5" customHeight="1">
      <c r="A742" s="8" t="s">
        <v>58</v>
      </c>
      <c r="B742" s="8" t="str">
        <f>"李良雨"</f>
        <v>李良雨</v>
      </c>
      <c r="C742" s="8" t="str">
        <f>"341182199412030426"</f>
        <v>341182199412030426</v>
      </c>
      <c r="D742" s="8" t="str">
        <f>"20200302312"</f>
        <v>20200302312</v>
      </c>
      <c r="E742" s="9">
        <v>56</v>
      </c>
      <c r="F742" s="9">
        <v>67.5</v>
      </c>
      <c r="G742" s="9">
        <f t="shared" si="11"/>
        <v>123.5</v>
      </c>
      <c r="H742" s="8"/>
    </row>
    <row r="743" spans="1:8" ht="22.5" customHeight="1">
      <c r="A743" s="8" t="s">
        <v>58</v>
      </c>
      <c r="B743" s="8" t="str">
        <f>"朱升"</f>
        <v>朱升</v>
      </c>
      <c r="C743" s="8" t="str">
        <f>"341182199401131010"</f>
        <v>341182199401131010</v>
      </c>
      <c r="D743" s="8" t="str">
        <f>"20200302309"</f>
        <v>20200302309</v>
      </c>
      <c r="E743" s="9">
        <v>52.3</v>
      </c>
      <c r="F743" s="9">
        <v>71</v>
      </c>
      <c r="G743" s="9">
        <f t="shared" si="11"/>
        <v>123.3</v>
      </c>
      <c r="H743" s="8"/>
    </row>
    <row r="744" spans="1:8" ht="22.5" customHeight="1">
      <c r="A744" s="8" t="s">
        <v>58</v>
      </c>
      <c r="B744" s="8" t="str">
        <f>"张朔"</f>
        <v>张朔</v>
      </c>
      <c r="C744" s="8" t="str">
        <f>"341182199012100018"</f>
        <v>341182199012100018</v>
      </c>
      <c r="D744" s="8" t="str">
        <f>"20200302620"</f>
        <v>20200302620</v>
      </c>
      <c r="E744" s="9">
        <v>54.6</v>
      </c>
      <c r="F744" s="9">
        <v>68.5</v>
      </c>
      <c r="G744" s="9">
        <f t="shared" si="11"/>
        <v>123.1</v>
      </c>
      <c r="H744" s="8"/>
    </row>
    <row r="745" spans="1:8" ht="22.5" customHeight="1">
      <c r="A745" s="8" t="s">
        <v>58</v>
      </c>
      <c r="B745" s="8" t="str">
        <f>"李广江"</f>
        <v>李广江</v>
      </c>
      <c r="C745" s="8" t="str">
        <f>"34112219841105103X"</f>
        <v>34112219841105103X</v>
      </c>
      <c r="D745" s="8" t="str">
        <f>"20200302523"</f>
        <v>20200302523</v>
      </c>
      <c r="E745" s="9">
        <v>51</v>
      </c>
      <c r="F745" s="9">
        <v>72</v>
      </c>
      <c r="G745" s="9">
        <f t="shared" si="11"/>
        <v>123</v>
      </c>
      <c r="H745" s="8"/>
    </row>
    <row r="746" spans="1:8" ht="22.5" customHeight="1">
      <c r="A746" s="8" t="s">
        <v>58</v>
      </c>
      <c r="B746" s="8" t="str">
        <f>"陈雨"</f>
        <v>陈雨</v>
      </c>
      <c r="C746" s="8" t="str">
        <f>"341182199304202622"</f>
        <v>341182199304202622</v>
      </c>
      <c r="D746" s="8" t="str">
        <f>"20200302612"</f>
        <v>20200302612</v>
      </c>
      <c r="E746" s="9">
        <v>52.5</v>
      </c>
      <c r="F746" s="9">
        <v>70.5</v>
      </c>
      <c r="G746" s="9">
        <f t="shared" si="11"/>
        <v>123</v>
      </c>
      <c r="H746" s="8"/>
    </row>
    <row r="747" spans="1:8" ht="22.5" customHeight="1">
      <c r="A747" s="8" t="s">
        <v>58</v>
      </c>
      <c r="B747" s="8" t="str">
        <f>"周圆"</f>
        <v>周圆</v>
      </c>
      <c r="C747" s="8" t="str">
        <f>"341102199209120619"</f>
        <v>341102199209120619</v>
      </c>
      <c r="D747" s="8" t="str">
        <f>"20200302623"</f>
        <v>20200302623</v>
      </c>
      <c r="E747" s="9">
        <v>51.3</v>
      </c>
      <c r="F747" s="9">
        <v>71.5</v>
      </c>
      <c r="G747" s="9">
        <f t="shared" si="11"/>
        <v>122.8</v>
      </c>
      <c r="H747" s="8"/>
    </row>
    <row r="748" spans="1:8" ht="22.5" customHeight="1">
      <c r="A748" s="8" t="s">
        <v>58</v>
      </c>
      <c r="B748" s="8" t="str">
        <f>"张卓"</f>
        <v>张卓</v>
      </c>
      <c r="C748" s="8" t="str">
        <f>"340322199301241638"</f>
        <v>340322199301241638</v>
      </c>
      <c r="D748" s="8" t="str">
        <f>"20200302227"</f>
        <v>20200302227</v>
      </c>
      <c r="E748" s="9">
        <v>54.6</v>
      </c>
      <c r="F748" s="9">
        <v>68</v>
      </c>
      <c r="G748" s="9">
        <f t="shared" si="11"/>
        <v>122.6</v>
      </c>
      <c r="H748" s="8"/>
    </row>
    <row r="749" spans="1:8" ht="22.5" customHeight="1">
      <c r="A749" s="8" t="s">
        <v>58</v>
      </c>
      <c r="B749" s="8" t="str">
        <f>"胡静"</f>
        <v>胡静</v>
      </c>
      <c r="C749" s="8" t="str">
        <f>"341181199002130022"</f>
        <v>341181199002130022</v>
      </c>
      <c r="D749" s="8" t="str">
        <f>"20200302802"</f>
        <v>20200302802</v>
      </c>
      <c r="E749" s="9">
        <v>50.6</v>
      </c>
      <c r="F749" s="9">
        <v>72</v>
      </c>
      <c r="G749" s="9">
        <f t="shared" si="11"/>
        <v>122.6</v>
      </c>
      <c r="H749" s="8"/>
    </row>
    <row r="750" spans="1:8" ht="22.5" customHeight="1">
      <c r="A750" s="8" t="s">
        <v>58</v>
      </c>
      <c r="B750" s="8" t="str">
        <f>"雷若晨"</f>
        <v>雷若晨</v>
      </c>
      <c r="C750" s="8" t="str">
        <f>"341126199603170033"</f>
        <v>341126199603170033</v>
      </c>
      <c r="D750" s="8" t="str">
        <f>"20200302618"</f>
        <v>20200302618</v>
      </c>
      <c r="E750" s="9">
        <v>56.8</v>
      </c>
      <c r="F750" s="9">
        <v>65.5</v>
      </c>
      <c r="G750" s="9">
        <f t="shared" si="11"/>
        <v>122.3</v>
      </c>
      <c r="H750" s="8"/>
    </row>
    <row r="751" spans="1:8" ht="22.5" customHeight="1">
      <c r="A751" s="8" t="s">
        <v>58</v>
      </c>
      <c r="B751" s="8" t="str">
        <f>"李凯丽"</f>
        <v>李凯丽</v>
      </c>
      <c r="C751" s="8" t="str">
        <f>"341127199609284425"</f>
        <v>341127199609284425</v>
      </c>
      <c r="D751" s="8" t="str">
        <f>"20200302707"</f>
        <v>20200302707</v>
      </c>
      <c r="E751" s="9">
        <v>51.2</v>
      </c>
      <c r="F751" s="9">
        <v>71</v>
      </c>
      <c r="G751" s="9">
        <f t="shared" si="11"/>
        <v>122.2</v>
      </c>
      <c r="H751" s="8"/>
    </row>
    <row r="752" spans="1:8" ht="22.5" customHeight="1">
      <c r="A752" s="8" t="s">
        <v>58</v>
      </c>
      <c r="B752" s="8" t="str">
        <f>"付倩倩"</f>
        <v>付倩倩</v>
      </c>
      <c r="C752" s="8" t="str">
        <f>"34118219990910382X"</f>
        <v>34118219990910382X</v>
      </c>
      <c r="D752" s="8" t="str">
        <f>"20200302515"</f>
        <v>20200302515</v>
      </c>
      <c r="E752" s="9">
        <v>49.1</v>
      </c>
      <c r="F752" s="9">
        <v>73</v>
      </c>
      <c r="G752" s="9">
        <f t="shared" si="11"/>
        <v>122.1</v>
      </c>
      <c r="H752" s="8"/>
    </row>
    <row r="753" spans="1:8" ht="22.5" customHeight="1">
      <c r="A753" s="8" t="s">
        <v>58</v>
      </c>
      <c r="B753" s="8" t="str">
        <f>"刘璐"</f>
        <v>刘璐</v>
      </c>
      <c r="C753" s="8" t="str">
        <f>"341182199101253622"</f>
        <v>341182199101253622</v>
      </c>
      <c r="D753" s="8" t="str">
        <f>"20200302830"</f>
        <v>20200302830</v>
      </c>
      <c r="E753" s="9">
        <v>50.1</v>
      </c>
      <c r="F753" s="9">
        <v>72</v>
      </c>
      <c r="G753" s="9">
        <f t="shared" si="11"/>
        <v>122.1</v>
      </c>
      <c r="H753" s="8"/>
    </row>
    <row r="754" spans="1:8" ht="22.5" customHeight="1">
      <c r="A754" s="8" t="s">
        <v>58</v>
      </c>
      <c r="B754" s="8" t="str">
        <f>"刘云腾"</f>
        <v>刘云腾</v>
      </c>
      <c r="C754" s="8" t="str">
        <f>"340322198803107813"</f>
        <v>340322198803107813</v>
      </c>
      <c r="D754" s="8" t="str">
        <f>"20200302528"</f>
        <v>20200302528</v>
      </c>
      <c r="E754" s="9">
        <v>54.4</v>
      </c>
      <c r="F754" s="9">
        <v>67.5</v>
      </c>
      <c r="G754" s="9">
        <f t="shared" si="11"/>
        <v>121.9</v>
      </c>
      <c r="H754" s="8"/>
    </row>
    <row r="755" spans="1:8" ht="22.5" customHeight="1">
      <c r="A755" s="8" t="s">
        <v>58</v>
      </c>
      <c r="B755" s="8" t="str">
        <f>"林余松"</f>
        <v>林余松</v>
      </c>
      <c r="C755" s="8" t="str">
        <f>"34112719880212201X"</f>
        <v>34112719880212201X</v>
      </c>
      <c r="D755" s="8" t="str">
        <f>"20200302601"</f>
        <v>20200302601</v>
      </c>
      <c r="E755" s="9">
        <v>54.6</v>
      </c>
      <c r="F755" s="9">
        <v>67</v>
      </c>
      <c r="G755" s="9">
        <f t="shared" si="11"/>
        <v>121.6</v>
      </c>
      <c r="H755" s="8"/>
    </row>
    <row r="756" spans="1:8" ht="22.5" customHeight="1">
      <c r="A756" s="8" t="s">
        <v>58</v>
      </c>
      <c r="B756" s="8" t="str">
        <f>"王瑞"</f>
        <v>王瑞</v>
      </c>
      <c r="C756" s="8" t="str">
        <f>"341127198701251410"</f>
        <v>341127198701251410</v>
      </c>
      <c r="D756" s="8" t="str">
        <f>"20200302717"</f>
        <v>20200302717</v>
      </c>
      <c r="E756" s="9">
        <v>49.4</v>
      </c>
      <c r="F756" s="9">
        <v>72</v>
      </c>
      <c r="G756" s="9">
        <f t="shared" si="11"/>
        <v>121.4</v>
      </c>
      <c r="H756" s="8"/>
    </row>
    <row r="757" spans="1:8" ht="22.5" customHeight="1">
      <c r="A757" s="8" t="s">
        <v>58</v>
      </c>
      <c r="B757" s="8" t="str">
        <f>"朱磊"</f>
        <v>朱磊</v>
      </c>
      <c r="C757" s="8" t="str">
        <f>"34112619950812731X"</f>
        <v>34112619950812731X</v>
      </c>
      <c r="D757" s="8" t="str">
        <f>"20200302508"</f>
        <v>20200302508</v>
      </c>
      <c r="E757" s="9">
        <v>48.3</v>
      </c>
      <c r="F757" s="9">
        <v>73</v>
      </c>
      <c r="G757" s="9">
        <f t="shared" si="11"/>
        <v>121.3</v>
      </c>
      <c r="H757" s="8"/>
    </row>
    <row r="758" spans="1:8" ht="22.5" customHeight="1">
      <c r="A758" s="8" t="s">
        <v>58</v>
      </c>
      <c r="B758" s="8" t="str">
        <f>"徐乐平"</f>
        <v>徐乐平</v>
      </c>
      <c r="C758" s="8" t="str">
        <f>"342623199506275318"</f>
        <v>342623199506275318</v>
      </c>
      <c r="D758" s="8" t="str">
        <f>"20200302826"</f>
        <v>20200302826</v>
      </c>
      <c r="E758" s="9">
        <v>54.8</v>
      </c>
      <c r="F758" s="9">
        <v>66.5</v>
      </c>
      <c r="G758" s="9">
        <f t="shared" si="11"/>
        <v>121.3</v>
      </c>
      <c r="H758" s="8"/>
    </row>
    <row r="759" spans="1:8" ht="22.5" customHeight="1">
      <c r="A759" s="8" t="s">
        <v>58</v>
      </c>
      <c r="B759" s="8" t="str">
        <f>"陆苗苗"</f>
        <v>陆苗苗</v>
      </c>
      <c r="C759" s="8" t="str">
        <f>"341182198907223225"</f>
        <v>341182198907223225</v>
      </c>
      <c r="D759" s="8" t="str">
        <f>"20200302718"</f>
        <v>20200302718</v>
      </c>
      <c r="E759" s="9">
        <v>50.1</v>
      </c>
      <c r="F759" s="9">
        <v>71</v>
      </c>
      <c r="G759" s="9">
        <f t="shared" si="11"/>
        <v>121.1</v>
      </c>
      <c r="H759" s="8"/>
    </row>
    <row r="760" spans="1:8" ht="22.5" customHeight="1">
      <c r="A760" s="8" t="s">
        <v>58</v>
      </c>
      <c r="B760" s="8" t="str">
        <f>"金雯"</f>
        <v>金雯</v>
      </c>
      <c r="C760" s="8" t="str">
        <f>"341182199204010041"</f>
        <v>341182199204010041</v>
      </c>
      <c r="D760" s="8" t="str">
        <f>"20200302307"</f>
        <v>20200302307</v>
      </c>
      <c r="E760" s="9">
        <v>52</v>
      </c>
      <c r="F760" s="9">
        <v>69</v>
      </c>
      <c r="G760" s="9">
        <f t="shared" si="11"/>
        <v>121</v>
      </c>
      <c r="H760" s="8"/>
    </row>
    <row r="761" spans="1:8" ht="22.5" customHeight="1">
      <c r="A761" s="8" t="s">
        <v>58</v>
      </c>
      <c r="B761" s="8" t="str">
        <f>"林欢"</f>
        <v>林欢</v>
      </c>
      <c r="C761" s="8" t="str">
        <f>"341182199310102011"</f>
        <v>341182199310102011</v>
      </c>
      <c r="D761" s="8" t="str">
        <f>"20200302410"</f>
        <v>20200302410</v>
      </c>
      <c r="E761" s="9">
        <v>56.5</v>
      </c>
      <c r="F761" s="9">
        <v>64.5</v>
      </c>
      <c r="G761" s="9">
        <f t="shared" si="11"/>
        <v>121</v>
      </c>
      <c r="H761" s="8"/>
    </row>
    <row r="762" spans="1:8" ht="22.5" customHeight="1">
      <c r="A762" s="8" t="s">
        <v>58</v>
      </c>
      <c r="B762" s="8" t="str">
        <f>"张军"</f>
        <v>张军</v>
      </c>
      <c r="C762" s="8" t="str">
        <f>"341182199009010417"</f>
        <v>341182199009010417</v>
      </c>
      <c r="D762" s="8" t="str">
        <f>"20200302314"</f>
        <v>20200302314</v>
      </c>
      <c r="E762" s="9">
        <v>50.5</v>
      </c>
      <c r="F762" s="9">
        <v>70</v>
      </c>
      <c r="G762" s="9">
        <f t="shared" si="11"/>
        <v>120.5</v>
      </c>
      <c r="H762" s="8"/>
    </row>
    <row r="763" spans="1:8" ht="22.5" customHeight="1">
      <c r="A763" s="8" t="s">
        <v>58</v>
      </c>
      <c r="B763" s="8" t="str">
        <f>"孙辉"</f>
        <v>孙辉</v>
      </c>
      <c r="C763" s="8" t="str">
        <f>"341182198803030410"</f>
        <v>341182198803030410</v>
      </c>
      <c r="D763" s="8" t="str">
        <f>"20200302217"</f>
        <v>20200302217</v>
      </c>
      <c r="E763" s="9">
        <v>53.4</v>
      </c>
      <c r="F763" s="9">
        <v>67</v>
      </c>
      <c r="G763" s="9">
        <f t="shared" si="11"/>
        <v>120.4</v>
      </c>
      <c r="H763" s="8"/>
    </row>
    <row r="764" spans="1:8" ht="22.5" customHeight="1">
      <c r="A764" s="8" t="s">
        <v>58</v>
      </c>
      <c r="B764" s="8" t="str">
        <f>"贾忠妍"</f>
        <v>贾忠妍</v>
      </c>
      <c r="C764" s="8" t="str">
        <f>"341181198807140020"</f>
        <v>341181198807140020</v>
      </c>
      <c r="D764" s="8" t="str">
        <f>"20200302823"</f>
        <v>20200302823</v>
      </c>
      <c r="E764" s="9">
        <v>49</v>
      </c>
      <c r="F764" s="9">
        <v>71</v>
      </c>
      <c r="G764" s="9">
        <f t="shared" si="11"/>
        <v>120</v>
      </c>
      <c r="H764" s="8"/>
    </row>
    <row r="765" spans="1:8" ht="22.5" customHeight="1">
      <c r="A765" s="8" t="s">
        <v>58</v>
      </c>
      <c r="B765" s="8" t="str">
        <f>"王长城"</f>
        <v>王长城</v>
      </c>
      <c r="C765" s="8" t="str">
        <f>"341125199609045050"</f>
        <v>341125199609045050</v>
      </c>
      <c r="D765" s="8" t="str">
        <f>"20200302323"</f>
        <v>20200302323</v>
      </c>
      <c r="E765" s="9">
        <v>54.6</v>
      </c>
      <c r="F765" s="9">
        <v>65</v>
      </c>
      <c r="G765" s="9">
        <f t="shared" si="11"/>
        <v>119.6</v>
      </c>
      <c r="H765" s="8"/>
    </row>
    <row r="766" spans="1:8" ht="22.5" customHeight="1">
      <c r="A766" s="8" t="s">
        <v>58</v>
      </c>
      <c r="B766" s="8" t="str">
        <f>"丰波"</f>
        <v>丰波</v>
      </c>
      <c r="C766" s="8" t="str">
        <f>"341182199201095414"</f>
        <v>341182199201095414</v>
      </c>
      <c r="D766" s="8" t="str">
        <f>"20200302715"</f>
        <v>20200302715</v>
      </c>
      <c r="E766" s="9">
        <v>48.1</v>
      </c>
      <c r="F766" s="9">
        <v>71.5</v>
      </c>
      <c r="G766" s="9">
        <f t="shared" si="11"/>
        <v>119.6</v>
      </c>
      <c r="H766" s="8"/>
    </row>
    <row r="767" spans="1:8" ht="22.5" customHeight="1">
      <c r="A767" s="8" t="s">
        <v>58</v>
      </c>
      <c r="B767" s="8" t="str">
        <f>"聂少华"</f>
        <v>聂少华</v>
      </c>
      <c r="C767" s="8" t="str">
        <f>"340322199505203414"</f>
        <v>340322199505203414</v>
      </c>
      <c r="D767" s="8" t="str">
        <f>"20200302315"</f>
        <v>20200302315</v>
      </c>
      <c r="E767" s="9">
        <v>51.2</v>
      </c>
      <c r="F767" s="9">
        <v>68</v>
      </c>
      <c r="G767" s="9">
        <f t="shared" si="11"/>
        <v>119.2</v>
      </c>
      <c r="H767" s="8"/>
    </row>
    <row r="768" spans="1:8" ht="22.5" customHeight="1">
      <c r="A768" s="8" t="s">
        <v>58</v>
      </c>
      <c r="B768" s="8" t="str">
        <f>"呼瑞"</f>
        <v>呼瑞</v>
      </c>
      <c r="C768" s="8" t="str">
        <f>"341182199512030626"</f>
        <v>341182199512030626</v>
      </c>
      <c r="D768" s="8" t="str">
        <f>"20200302809"</f>
        <v>20200302809</v>
      </c>
      <c r="E768" s="9">
        <v>48.7</v>
      </c>
      <c r="F768" s="9">
        <v>70.5</v>
      </c>
      <c r="G768" s="9">
        <f t="shared" si="11"/>
        <v>119.2</v>
      </c>
      <c r="H768" s="8"/>
    </row>
    <row r="769" spans="1:8" ht="22.5" customHeight="1">
      <c r="A769" s="8" t="s">
        <v>58</v>
      </c>
      <c r="B769" s="8" t="str">
        <f>"张文景"</f>
        <v>张文景</v>
      </c>
      <c r="C769" s="8" t="str">
        <f>"341182199608112220"</f>
        <v>341182199608112220</v>
      </c>
      <c r="D769" s="8" t="str">
        <f>"20200302219"</f>
        <v>20200302219</v>
      </c>
      <c r="E769" s="9">
        <v>49.1</v>
      </c>
      <c r="F769" s="9">
        <v>70</v>
      </c>
      <c r="G769" s="9">
        <f t="shared" si="11"/>
        <v>119.1</v>
      </c>
      <c r="H769" s="8"/>
    </row>
    <row r="770" spans="1:8" ht="22.5" customHeight="1">
      <c r="A770" s="8" t="s">
        <v>58</v>
      </c>
      <c r="B770" s="8" t="str">
        <f>"梁菊"</f>
        <v>梁菊</v>
      </c>
      <c r="C770" s="8" t="str">
        <f>"341182199408214425"</f>
        <v>341182199408214425</v>
      </c>
      <c r="D770" s="8" t="str">
        <f>"20200302223"</f>
        <v>20200302223</v>
      </c>
      <c r="E770" s="9">
        <v>45.6</v>
      </c>
      <c r="F770" s="9">
        <v>73.5</v>
      </c>
      <c r="G770" s="9">
        <f t="shared" si="11"/>
        <v>119.1</v>
      </c>
      <c r="H770" s="8"/>
    </row>
    <row r="771" spans="1:8" ht="22.5" customHeight="1">
      <c r="A771" s="8" t="s">
        <v>58</v>
      </c>
      <c r="B771" s="8" t="str">
        <f>"彭鹏"</f>
        <v>彭鹏</v>
      </c>
      <c r="C771" s="8" t="str">
        <f>"341182198909240010"</f>
        <v>341182198909240010</v>
      </c>
      <c r="D771" s="8" t="str">
        <f>"20200302818"</f>
        <v>20200302818</v>
      </c>
      <c r="E771" s="9">
        <v>52.1</v>
      </c>
      <c r="F771" s="9">
        <v>67</v>
      </c>
      <c r="G771" s="9">
        <f aca="true" t="shared" si="12" ref="G771:G834">E771+F771</f>
        <v>119.1</v>
      </c>
      <c r="H771" s="8"/>
    </row>
    <row r="772" spans="1:8" ht="22.5" customHeight="1">
      <c r="A772" s="8" t="s">
        <v>58</v>
      </c>
      <c r="B772" s="8" t="str">
        <f>"袁敏"</f>
        <v>袁敏</v>
      </c>
      <c r="C772" s="8" t="str">
        <f>"341182198710110024"</f>
        <v>341182198710110024</v>
      </c>
      <c r="D772" s="8" t="str">
        <f>"20200302517"</f>
        <v>20200302517</v>
      </c>
      <c r="E772" s="9">
        <v>47.9</v>
      </c>
      <c r="F772" s="9">
        <v>71</v>
      </c>
      <c r="G772" s="9">
        <f t="shared" si="12"/>
        <v>118.9</v>
      </c>
      <c r="H772" s="8"/>
    </row>
    <row r="773" spans="1:8" ht="22.5" customHeight="1">
      <c r="A773" s="8" t="s">
        <v>58</v>
      </c>
      <c r="B773" s="8" t="str">
        <f>"高家远"</f>
        <v>高家远</v>
      </c>
      <c r="C773" s="8" t="str">
        <f>"341182199502160443"</f>
        <v>341182199502160443</v>
      </c>
      <c r="D773" s="8" t="str">
        <f>"20200302328"</f>
        <v>20200302328</v>
      </c>
      <c r="E773" s="9">
        <v>51.6</v>
      </c>
      <c r="F773" s="9">
        <v>67</v>
      </c>
      <c r="G773" s="9">
        <f t="shared" si="12"/>
        <v>118.6</v>
      </c>
      <c r="H773" s="8"/>
    </row>
    <row r="774" spans="1:8" ht="22.5" customHeight="1">
      <c r="A774" s="8" t="s">
        <v>58</v>
      </c>
      <c r="B774" s="8" t="str">
        <f>"戴威"</f>
        <v>戴威</v>
      </c>
      <c r="C774" s="8" t="str">
        <f>"341182199304126017"</f>
        <v>341182199304126017</v>
      </c>
      <c r="D774" s="8" t="str">
        <f>"20200302530"</f>
        <v>20200302530</v>
      </c>
      <c r="E774" s="9">
        <v>45.5</v>
      </c>
      <c r="F774" s="9">
        <v>73</v>
      </c>
      <c r="G774" s="9">
        <f t="shared" si="12"/>
        <v>118.5</v>
      </c>
      <c r="H774" s="8"/>
    </row>
    <row r="775" spans="1:8" ht="22.5" customHeight="1">
      <c r="A775" s="8" t="s">
        <v>58</v>
      </c>
      <c r="B775" s="8" t="str">
        <f>"童雯雯"</f>
        <v>童雯雯</v>
      </c>
      <c r="C775" s="8" t="str">
        <f>"341182199507200248"</f>
        <v>341182199507200248</v>
      </c>
      <c r="D775" s="8" t="str">
        <f>"20200302330"</f>
        <v>20200302330</v>
      </c>
      <c r="E775" s="9">
        <v>48.8</v>
      </c>
      <c r="F775" s="9">
        <v>69.5</v>
      </c>
      <c r="G775" s="9">
        <f t="shared" si="12"/>
        <v>118.3</v>
      </c>
      <c r="H775" s="8"/>
    </row>
    <row r="776" spans="1:8" ht="22.5" customHeight="1">
      <c r="A776" s="8" t="s">
        <v>58</v>
      </c>
      <c r="B776" s="8" t="str">
        <f>"吕超"</f>
        <v>吕超</v>
      </c>
      <c r="C776" s="8" t="str">
        <f>"341182199408091015"</f>
        <v>341182199408091015</v>
      </c>
      <c r="D776" s="8" t="str">
        <f>"20200302324"</f>
        <v>20200302324</v>
      </c>
      <c r="E776" s="9">
        <v>48.1</v>
      </c>
      <c r="F776" s="9">
        <v>70</v>
      </c>
      <c r="G776" s="9">
        <f t="shared" si="12"/>
        <v>118.1</v>
      </c>
      <c r="H776" s="8"/>
    </row>
    <row r="777" spans="1:8" ht="22.5" customHeight="1">
      <c r="A777" s="8" t="s">
        <v>58</v>
      </c>
      <c r="B777" s="8" t="str">
        <f>"尹荣"</f>
        <v>尹荣</v>
      </c>
      <c r="C777" s="8" t="str">
        <f>"341126198911050047"</f>
        <v>341126198911050047</v>
      </c>
      <c r="D777" s="8" t="str">
        <f>"20200302325"</f>
        <v>20200302325</v>
      </c>
      <c r="E777" s="9">
        <v>54.6</v>
      </c>
      <c r="F777" s="9">
        <v>63.5</v>
      </c>
      <c r="G777" s="9">
        <f t="shared" si="12"/>
        <v>118.1</v>
      </c>
      <c r="H777" s="8"/>
    </row>
    <row r="778" spans="1:8" ht="22.5" customHeight="1">
      <c r="A778" s="8" t="s">
        <v>58</v>
      </c>
      <c r="B778" s="8" t="str">
        <f>"林曦"</f>
        <v>林曦</v>
      </c>
      <c r="C778" s="8" t="str">
        <f>"341182199107030219"</f>
        <v>341182199107030219</v>
      </c>
      <c r="D778" s="8" t="str">
        <f>"20200302415"</f>
        <v>20200302415</v>
      </c>
      <c r="E778" s="9">
        <v>51.1</v>
      </c>
      <c r="F778" s="9">
        <v>67</v>
      </c>
      <c r="G778" s="9">
        <f t="shared" si="12"/>
        <v>118.1</v>
      </c>
      <c r="H778" s="8"/>
    </row>
    <row r="779" spans="1:8" ht="22.5" customHeight="1">
      <c r="A779" s="8" t="s">
        <v>58</v>
      </c>
      <c r="B779" s="8" t="str">
        <f>"窦倩"</f>
        <v>窦倩</v>
      </c>
      <c r="C779" s="8" t="str">
        <f>"341182199411062629"</f>
        <v>341182199411062629</v>
      </c>
      <c r="D779" s="8" t="str">
        <f>"20200302617"</f>
        <v>20200302617</v>
      </c>
      <c r="E779" s="9">
        <v>46.1</v>
      </c>
      <c r="F779" s="9">
        <v>72</v>
      </c>
      <c r="G779" s="9">
        <f t="shared" si="12"/>
        <v>118.1</v>
      </c>
      <c r="H779" s="8"/>
    </row>
    <row r="780" spans="1:8" ht="22.5" customHeight="1">
      <c r="A780" s="8" t="s">
        <v>58</v>
      </c>
      <c r="B780" s="8" t="str">
        <f>"龚家媛"</f>
        <v>龚家媛</v>
      </c>
      <c r="C780" s="8" t="str">
        <f>"341182199509091620"</f>
        <v>341182199509091620</v>
      </c>
      <c r="D780" s="8" t="str">
        <f>"20200302408"</f>
        <v>20200302408</v>
      </c>
      <c r="E780" s="9">
        <v>51</v>
      </c>
      <c r="F780" s="9">
        <v>67</v>
      </c>
      <c r="G780" s="9">
        <f t="shared" si="12"/>
        <v>118</v>
      </c>
      <c r="H780" s="8"/>
    </row>
    <row r="781" spans="1:8" ht="22.5" customHeight="1">
      <c r="A781" s="8" t="s">
        <v>58</v>
      </c>
      <c r="B781" s="8" t="str">
        <f>"孙政"</f>
        <v>孙政</v>
      </c>
      <c r="C781" s="8" t="str">
        <f>"341127198711141418"</f>
        <v>341127198711141418</v>
      </c>
      <c r="D781" s="8" t="str">
        <f>"20200302827"</f>
        <v>20200302827</v>
      </c>
      <c r="E781" s="9">
        <v>53.9</v>
      </c>
      <c r="F781" s="9">
        <v>64</v>
      </c>
      <c r="G781" s="9">
        <f t="shared" si="12"/>
        <v>117.9</v>
      </c>
      <c r="H781" s="8"/>
    </row>
    <row r="782" spans="1:8" ht="22.5" customHeight="1">
      <c r="A782" s="8" t="s">
        <v>58</v>
      </c>
      <c r="B782" s="8" t="str">
        <f>"杨曼文"</f>
        <v>杨曼文</v>
      </c>
      <c r="C782" s="8" t="str">
        <f>"340322198810110025"</f>
        <v>340322198810110025</v>
      </c>
      <c r="D782" s="8" t="str">
        <f>"20200302403"</f>
        <v>20200302403</v>
      </c>
      <c r="E782" s="9">
        <v>50.8</v>
      </c>
      <c r="F782" s="9">
        <v>67</v>
      </c>
      <c r="G782" s="9">
        <f t="shared" si="12"/>
        <v>117.8</v>
      </c>
      <c r="H782" s="8"/>
    </row>
    <row r="783" spans="1:8" ht="22.5" customHeight="1">
      <c r="A783" s="8" t="s">
        <v>58</v>
      </c>
      <c r="B783" s="8" t="str">
        <f>"刘嫣"</f>
        <v>刘嫣</v>
      </c>
      <c r="C783" s="8" t="str">
        <f>"341126198909300027"</f>
        <v>341126198909300027</v>
      </c>
      <c r="D783" s="8" t="str">
        <f>"20200302225"</f>
        <v>20200302225</v>
      </c>
      <c r="E783" s="9">
        <v>49.1</v>
      </c>
      <c r="F783" s="9">
        <v>68.5</v>
      </c>
      <c r="G783" s="9">
        <f t="shared" si="12"/>
        <v>117.6</v>
      </c>
      <c r="H783" s="8"/>
    </row>
    <row r="784" spans="1:8" ht="22.5" customHeight="1">
      <c r="A784" s="8" t="s">
        <v>58</v>
      </c>
      <c r="B784" s="8" t="str">
        <f>"张宝婧"</f>
        <v>张宝婧</v>
      </c>
      <c r="C784" s="8" t="str">
        <f>"341182199509040225"</f>
        <v>341182199509040225</v>
      </c>
      <c r="D784" s="8" t="str">
        <f>"20200302412"</f>
        <v>20200302412</v>
      </c>
      <c r="E784" s="9">
        <v>45.6</v>
      </c>
      <c r="F784" s="9">
        <v>72</v>
      </c>
      <c r="G784" s="9">
        <f t="shared" si="12"/>
        <v>117.6</v>
      </c>
      <c r="H784" s="8"/>
    </row>
    <row r="785" spans="1:8" ht="22.5" customHeight="1">
      <c r="A785" s="8" t="s">
        <v>58</v>
      </c>
      <c r="B785" s="8" t="str">
        <f>"周杨陶"</f>
        <v>周杨陶</v>
      </c>
      <c r="C785" s="8" t="str">
        <f>"341125199502189281"</f>
        <v>341125199502189281</v>
      </c>
      <c r="D785" s="8" t="str">
        <f>"20200302503"</f>
        <v>20200302503</v>
      </c>
      <c r="E785" s="9">
        <v>53.6</v>
      </c>
      <c r="F785" s="9">
        <v>63.5</v>
      </c>
      <c r="G785" s="9">
        <f t="shared" si="12"/>
        <v>117.1</v>
      </c>
      <c r="H785" s="8"/>
    </row>
    <row r="786" spans="1:8" ht="22.5" customHeight="1">
      <c r="A786" s="8" t="s">
        <v>58</v>
      </c>
      <c r="B786" s="8" t="str">
        <f>"岳杨"</f>
        <v>岳杨</v>
      </c>
      <c r="C786" s="8" t="str">
        <f>"341182199308190622"</f>
        <v>341182199308190622</v>
      </c>
      <c r="D786" s="8" t="str">
        <f>"20200302825"</f>
        <v>20200302825</v>
      </c>
      <c r="E786" s="9">
        <v>45.4</v>
      </c>
      <c r="F786" s="9">
        <v>71.5</v>
      </c>
      <c r="G786" s="9">
        <f t="shared" si="12"/>
        <v>116.9</v>
      </c>
      <c r="H786" s="8"/>
    </row>
    <row r="787" spans="1:8" ht="22.5" customHeight="1">
      <c r="A787" s="8" t="s">
        <v>58</v>
      </c>
      <c r="B787" s="8" t="str">
        <f>"徐涛"</f>
        <v>徐涛</v>
      </c>
      <c r="C787" s="8" t="str">
        <f>"341127199601052435"</f>
        <v>341127199601052435</v>
      </c>
      <c r="D787" s="8" t="str">
        <f>"20200302317"</f>
        <v>20200302317</v>
      </c>
      <c r="E787" s="9">
        <v>51.3</v>
      </c>
      <c r="F787" s="9">
        <v>65.5</v>
      </c>
      <c r="G787" s="9">
        <f t="shared" si="12"/>
        <v>116.8</v>
      </c>
      <c r="H787" s="8"/>
    </row>
    <row r="788" spans="1:8" ht="22.5" customHeight="1">
      <c r="A788" s="8" t="s">
        <v>58</v>
      </c>
      <c r="B788" s="8" t="str">
        <f>"李子祁"</f>
        <v>李子祁</v>
      </c>
      <c r="C788" s="8" t="str">
        <f>"341182199702140033"</f>
        <v>341182199702140033</v>
      </c>
      <c r="D788" s="8" t="str">
        <f>"20200302220"</f>
        <v>20200302220</v>
      </c>
      <c r="E788" s="9">
        <v>47.5</v>
      </c>
      <c r="F788" s="9">
        <v>69</v>
      </c>
      <c r="G788" s="9">
        <f t="shared" si="12"/>
        <v>116.5</v>
      </c>
      <c r="H788" s="8"/>
    </row>
    <row r="789" spans="1:8" ht="22.5" customHeight="1">
      <c r="A789" s="8" t="s">
        <v>58</v>
      </c>
      <c r="B789" s="8" t="str">
        <f>"黄天成"</f>
        <v>黄天成</v>
      </c>
      <c r="C789" s="8" t="str">
        <f>"34118219880809021X"</f>
        <v>34118219880809021X</v>
      </c>
      <c r="D789" s="8" t="str">
        <f>"20200302527"</f>
        <v>20200302527</v>
      </c>
      <c r="E789" s="9">
        <v>47.6</v>
      </c>
      <c r="F789" s="9">
        <v>68.5</v>
      </c>
      <c r="G789" s="9">
        <f t="shared" si="12"/>
        <v>116.1</v>
      </c>
      <c r="H789" s="8"/>
    </row>
    <row r="790" spans="1:8" ht="22.5" customHeight="1">
      <c r="A790" s="8" t="s">
        <v>58</v>
      </c>
      <c r="B790" s="8" t="str">
        <f>"李青"</f>
        <v>李青</v>
      </c>
      <c r="C790" s="8" t="str">
        <f>"341182199110090220"</f>
        <v>341182199110090220</v>
      </c>
      <c r="D790" s="8" t="str">
        <f>"20200302228"</f>
        <v>20200302228</v>
      </c>
      <c r="E790" s="9">
        <v>46</v>
      </c>
      <c r="F790" s="9">
        <v>70</v>
      </c>
      <c r="G790" s="9">
        <f t="shared" si="12"/>
        <v>116</v>
      </c>
      <c r="H790" s="8"/>
    </row>
    <row r="791" spans="1:8" ht="22.5" customHeight="1">
      <c r="A791" s="8" t="s">
        <v>58</v>
      </c>
      <c r="B791" s="8" t="str">
        <f>"李敏"</f>
        <v>李敏</v>
      </c>
      <c r="C791" s="8" t="str">
        <f>"341182199508152022"</f>
        <v>341182199508152022</v>
      </c>
      <c r="D791" s="8" t="str">
        <f>"20200302519"</f>
        <v>20200302519</v>
      </c>
      <c r="E791" s="9">
        <v>44.4</v>
      </c>
      <c r="F791" s="9">
        <v>71.5</v>
      </c>
      <c r="G791" s="9">
        <f t="shared" si="12"/>
        <v>115.9</v>
      </c>
      <c r="H791" s="8"/>
    </row>
    <row r="792" spans="1:8" ht="22.5" customHeight="1">
      <c r="A792" s="8" t="s">
        <v>58</v>
      </c>
      <c r="B792" s="8" t="str">
        <f>"朱旭"</f>
        <v>朱旭</v>
      </c>
      <c r="C792" s="8" t="str">
        <f>"341182198908080246"</f>
        <v>341182198908080246</v>
      </c>
      <c r="D792" s="8" t="str">
        <f>"20200302222"</f>
        <v>20200302222</v>
      </c>
      <c r="E792" s="9">
        <v>45.2</v>
      </c>
      <c r="F792" s="9">
        <v>70.5</v>
      </c>
      <c r="G792" s="9">
        <f t="shared" si="12"/>
        <v>115.7</v>
      </c>
      <c r="H792" s="8"/>
    </row>
    <row r="793" spans="1:8" ht="22.5" customHeight="1">
      <c r="A793" s="8" t="s">
        <v>58</v>
      </c>
      <c r="B793" s="8" t="str">
        <f>"李倩"</f>
        <v>李倩</v>
      </c>
      <c r="C793" s="8" t="str">
        <f>"341182199401033023"</f>
        <v>341182199401033023</v>
      </c>
      <c r="D793" s="8" t="str">
        <f>"20200302409"</f>
        <v>20200302409</v>
      </c>
      <c r="E793" s="9">
        <v>42.7</v>
      </c>
      <c r="F793" s="9">
        <v>72</v>
      </c>
      <c r="G793" s="9">
        <f t="shared" si="12"/>
        <v>114.7</v>
      </c>
      <c r="H793" s="8"/>
    </row>
    <row r="794" spans="1:8" ht="22.5" customHeight="1">
      <c r="A794" s="8" t="s">
        <v>58</v>
      </c>
      <c r="B794" s="8" t="str">
        <f>"陈辉"</f>
        <v>陈辉</v>
      </c>
      <c r="C794" s="8" t="str">
        <f>"34112519871022055X"</f>
        <v>34112519871022055X</v>
      </c>
      <c r="D794" s="8" t="str">
        <f>"20200302816"</f>
        <v>20200302816</v>
      </c>
      <c r="E794" s="9">
        <v>50.3</v>
      </c>
      <c r="F794" s="9">
        <v>64</v>
      </c>
      <c r="G794" s="9">
        <f t="shared" si="12"/>
        <v>114.3</v>
      </c>
      <c r="H794" s="8"/>
    </row>
    <row r="795" spans="1:8" ht="22.5" customHeight="1">
      <c r="A795" s="8" t="s">
        <v>58</v>
      </c>
      <c r="B795" s="8" t="str">
        <f>"李雨婷"</f>
        <v>李雨婷</v>
      </c>
      <c r="C795" s="8" t="str">
        <f>"341182199405050429"</f>
        <v>341182199405050429</v>
      </c>
      <c r="D795" s="8" t="str">
        <f>"20200302901"</f>
        <v>20200302901</v>
      </c>
      <c r="E795" s="9">
        <v>44.7</v>
      </c>
      <c r="F795" s="9">
        <v>69.5</v>
      </c>
      <c r="G795" s="9">
        <f t="shared" si="12"/>
        <v>114.2</v>
      </c>
      <c r="H795" s="8"/>
    </row>
    <row r="796" spans="1:8" ht="22.5" customHeight="1">
      <c r="A796" s="8" t="s">
        <v>58</v>
      </c>
      <c r="B796" s="8" t="str">
        <f>"刘晶晶"</f>
        <v>刘晶晶</v>
      </c>
      <c r="C796" s="8" t="str">
        <f>"341182199402160227"</f>
        <v>341182199402160227</v>
      </c>
      <c r="D796" s="8" t="str">
        <f>"20200302524"</f>
        <v>20200302524</v>
      </c>
      <c r="E796" s="9">
        <v>42.9</v>
      </c>
      <c r="F796" s="9">
        <v>71</v>
      </c>
      <c r="G796" s="9">
        <f t="shared" si="12"/>
        <v>113.9</v>
      </c>
      <c r="H796" s="8"/>
    </row>
    <row r="797" spans="1:8" ht="22.5" customHeight="1">
      <c r="A797" s="8" t="s">
        <v>58</v>
      </c>
      <c r="B797" s="8" t="str">
        <f>"鲁超颖"</f>
        <v>鲁超颖</v>
      </c>
      <c r="C797" s="8" t="str">
        <f>"34110319910409502X"</f>
        <v>34110319910409502X</v>
      </c>
      <c r="D797" s="8" t="str">
        <f>"20200302301"</f>
        <v>20200302301</v>
      </c>
      <c r="E797" s="9">
        <v>45.2</v>
      </c>
      <c r="F797" s="9">
        <v>68</v>
      </c>
      <c r="G797" s="9">
        <f t="shared" si="12"/>
        <v>113.2</v>
      </c>
      <c r="H797" s="8"/>
    </row>
    <row r="798" spans="1:8" ht="22.5" customHeight="1">
      <c r="A798" s="8" t="s">
        <v>58</v>
      </c>
      <c r="B798" s="8" t="str">
        <f>"王明"</f>
        <v>王明</v>
      </c>
      <c r="C798" s="8" t="str">
        <f>"341182199101010612"</f>
        <v>341182199101010612</v>
      </c>
      <c r="D798" s="8" t="str">
        <f>"20200302903"</f>
        <v>20200302903</v>
      </c>
      <c r="E798" s="9">
        <v>46.7</v>
      </c>
      <c r="F798" s="9">
        <v>66.5</v>
      </c>
      <c r="G798" s="9">
        <f t="shared" si="12"/>
        <v>113.2</v>
      </c>
      <c r="H798" s="8"/>
    </row>
    <row r="799" spans="1:8" ht="22.5" customHeight="1">
      <c r="A799" s="8" t="s">
        <v>58</v>
      </c>
      <c r="B799" s="8" t="str">
        <f>"汪本帅"</f>
        <v>汪本帅</v>
      </c>
      <c r="C799" s="8" t="str">
        <f>"341182199401190416"</f>
        <v>341182199401190416</v>
      </c>
      <c r="D799" s="8" t="str">
        <f>"20200302605"</f>
        <v>20200302605</v>
      </c>
      <c r="E799" s="9">
        <v>41.9</v>
      </c>
      <c r="F799" s="9">
        <v>71</v>
      </c>
      <c r="G799" s="9">
        <f t="shared" si="12"/>
        <v>112.9</v>
      </c>
      <c r="H799" s="8"/>
    </row>
    <row r="800" spans="1:8" ht="22.5" customHeight="1">
      <c r="A800" s="8" t="s">
        <v>58</v>
      </c>
      <c r="B800" s="8" t="str">
        <f>"蒋传健"</f>
        <v>蒋传健</v>
      </c>
      <c r="C800" s="8" t="str">
        <f>"341182199506300650"</f>
        <v>341182199506300650</v>
      </c>
      <c r="D800" s="8" t="str">
        <f>"20200302630"</f>
        <v>20200302630</v>
      </c>
      <c r="E800" s="9">
        <v>42.9</v>
      </c>
      <c r="F800" s="9">
        <v>70</v>
      </c>
      <c r="G800" s="9">
        <f t="shared" si="12"/>
        <v>112.9</v>
      </c>
      <c r="H800" s="8"/>
    </row>
    <row r="801" spans="1:8" ht="22.5" customHeight="1">
      <c r="A801" s="8" t="s">
        <v>58</v>
      </c>
      <c r="B801" s="8" t="str">
        <f>"赵姗姗"</f>
        <v>赵姗姗</v>
      </c>
      <c r="C801" s="8" t="str">
        <f>"341182199304161824"</f>
        <v>341182199304161824</v>
      </c>
      <c r="D801" s="8" t="str">
        <f>"20200302413"</f>
        <v>20200302413</v>
      </c>
      <c r="E801" s="9">
        <v>44.7</v>
      </c>
      <c r="F801" s="9">
        <v>68</v>
      </c>
      <c r="G801" s="9">
        <f t="shared" si="12"/>
        <v>112.7</v>
      </c>
      <c r="H801" s="8"/>
    </row>
    <row r="802" spans="1:8" ht="22.5" customHeight="1">
      <c r="A802" s="8" t="s">
        <v>58</v>
      </c>
      <c r="B802" s="8" t="str">
        <f>"钱雪"</f>
        <v>钱雪</v>
      </c>
      <c r="C802" s="8" t="str">
        <f>"341182198902080026"</f>
        <v>341182198902080026</v>
      </c>
      <c r="D802" s="8" t="str">
        <f>"20200302514"</f>
        <v>20200302514</v>
      </c>
      <c r="E802" s="9">
        <v>42</v>
      </c>
      <c r="F802" s="9">
        <v>70.5</v>
      </c>
      <c r="G802" s="9">
        <f t="shared" si="12"/>
        <v>112.5</v>
      </c>
      <c r="H802" s="8"/>
    </row>
    <row r="803" spans="1:8" ht="22.5" customHeight="1">
      <c r="A803" s="8" t="s">
        <v>58</v>
      </c>
      <c r="B803" s="8" t="str">
        <f>"刘伯章"</f>
        <v>刘伯章</v>
      </c>
      <c r="C803" s="8" t="str">
        <f>"341182199108170010"</f>
        <v>341182199108170010</v>
      </c>
      <c r="D803" s="8" t="str">
        <f>"20200302509"</f>
        <v>20200302509</v>
      </c>
      <c r="E803" s="9">
        <v>47.8</v>
      </c>
      <c r="F803" s="9">
        <v>64.5</v>
      </c>
      <c r="G803" s="9">
        <f t="shared" si="12"/>
        <v>112.3</v>
      </c>
      <c r="H803" s="8"/>
    </row>
    <row r="804" spans="1:8" ht="22.5" customHeight="1">
      <c r="A804" s="8" t="s">
        <v>58</v>
      </c>
      <c r="B804" s="8" t="str">
        <f>"朱林义"</f>
        <v>朱林义</v>
      </c>
      <c r="C804" s="8" t="str">
        <f>"341182198802212618"</f>
        <v>341182198802212618</v>
      </c>
      <c r="D804" s="8" t="str">
        <f>"20200302421"</f>
        <v>20200302421</v>
      </c>
      <c r="E804" s="9">
        <v>45.7</v>
      </c>
      <c r="F804" s="9">
        <v>66.5</v>
      </c>
      <c r="G804" s="9">
        <f t="shared" si="12"/>
        <v>112.2</v>
      </c>
      <c r="H804" s="8"/>
    </row>
    <row r="805" spans="1:8" ht="22.5" customHeight="1">
      <c r="A805" s="8" t="s">
        <v>58</v>
      </c>
      <c r="B805" s="8" t="str">
        <f>"林芬"</f>
        <v>林芬</v>
      </c>
      <c r="C805" s="8" t="str">
        <f>"341182199612135441"</f>
        <v>341182199612135441</v>
      </c>
      <c r="D805" s="8" t="str">
        <f>"20200302230"</f>
        <v>20200302230</v>
      </c>
      <c r="E805" s="9">
        <v>42</v>
      </c>
      <c r="F805" s="9">
        <v>69.5</v>
      </c>
      <c r="G805" s="9">
        <f t="shared" si="12"/>
        <v>111.5</v>
      </c>
      <c r="H805" s="8"/>
    </row>
    <row r="806" spans="1:8" ht="22.5" customHeight="1">
      <c r="A806" s="8" t="s">
        <v>58</v>
      </c>
      <c r="B806" s="8" t="str">
        <f>"朱玉莹"</f>
        <v>朱玉莹</v>
      </c>
      <c r="C806" s="8" t="str">
        <f>"341182199511163021"</f>
        <v>341182199511163021</v>
      </c>
      <c r="D806" s="8" t="str">
        <f>"20200302318"</f>
        <v>20200302318</v>
      </c>
      <c r="E806" s="9">
        <v>43.5</v>
      </c>
      <c r="F806" s="9">
        <v>67</v>
      </c>
      <c r="G806" s="9">
        <f t="shared" si="12"/>
        <v>110.5</v>
      </c>
      <c r="H806" s="8"/>
    </row>
    <row r="807" spans="1:8" ht="22.5" customHeight="1">
      <c r="A807" s="8" t="s">
        <v>58</v>
      </c>
      <c r="B807" s="8" t="str">
        <f>"胡瑞"</f>
        <v>胡瑞</v>
      </c>
      <c r="C807" s="8" t="str">
        <f>"341127199610242011"</f>
        <v>341127199610242011</v>
      </c>
      <c r="D807" s="8" t="str">
        <f>"20200302819"</f>
        <v>20200302819</v>
      </c>
      <c r="E807" s="9">
        <v>40</v>
      </c>
      <c r="F807" s="9">
        <v>70.5</v>
      </c>
      <c r="G807" s="9">
        <f t="shared" si="12"/>
        <v>110.5</v>
      </c>
      <c r="H807" s="8"/>
    </row>
    <row r="808" spans="1:8" ht="22.5" customHeight="1">
      <c r="A808" s="8" t="s">
        <v>58</v>
      </c>
      <c r="B808" s="8" t="str">
        <f>"朱旭"</f>
        <v>朱旭</v>
      </c>
      <c r="C808" s="8" t="str">
        <f>"341182199405254835"</f>
        <v>341182199405254835</v>
      </c>
      <c r="D808" s="8" t="str">
        <f>"20200302306"</f>
        <v>20200302306</v>
      </c>
      <c r="E808" s="9">
        <v>42.8</v>
      </c>
      <c r="F808" s="9">
        <v>67.5</v>
      </c>
      <c r="G808" s="9">
        <f t="shared" si="12"/>
        <v>110.3</v>
      </c>
      <c r="H808" s="8"/>
    </row>
    <row r="809" spans="1:8" ht="22.5" customHeight="1">
      <c r="A809" s="8" t="s">
        <v>58</v>
      </c>
      <c r="B809" s="8" t="str">
        <f>"禹有权"</f>
        <v>禹有权</v>
      </c>
      <c r="C809" s="8" t="str">
        <f>"341126198612157215"</f>
        <v>341126198612157215</v>
      </c>
      <c r="D809" s="8" t="str">
        <f>"20200302316"</f>
        <v>20200302316</v>
      </c>
      <c r="E809" s="9">
        <v>40.8</v>
      </c>
      <c r="F809" s="9">
        <v>67.5</v>
      </c>
      <c r="G809" s="9">
        <f t="shared" si="12"/>
        <v>108.3</v>
      </c>
      <c r="H809" s="8"/>
    </row>
    <row r="810" spans="1:8" ht="22.5" customHeight="1">
      <c r="A810" s="8" t="s">
        <v>58</v>
      </c>
      <c r="B810" s="8" t="str">
        <f>"姚开朗"</f>
        <v>姚开朗</v>
      </c>
      <c r="C810" s="8" t="str">
        <f>"341182199803030212"</f>
        <v>341182199803030212</v>
      </c>
      <c r="D810" s="8" t="str">
        <f>"20200302313"</f>
        <v>20200302313</v>
      </c>
      <c r="E810" s="9">
        <v>41.6</v>
      </c>
      <c r="F810" s="9">
        <v>66.5</v>
      </c>
      <c r="G810" s="9">
        <f t="shared" si="12"/>
        <v>108.1</v>
      </c>
      <c r="H810" s="8"/>
    </row>
    <row r="811" spans="1:8" ht="22.5" customHeight="1">
      <c r="A811" s="8" t="s">
        <v>58</v>
      </c>
      <c r="B811" s="8" t="str">
        <f>"杨洋"</f>
        <v>杨洋</v>
      </c>
      <c r="C811" s="8" t="str">
        <f>"341182199210053021"</f>
        <v>341182199210053021</v>
      </c>
      <c r="D811" s="8" t="str">
        <f>"20200302805"</f>
        <v>20200302805</v>
      </c>
      <c r="E811" s="9">
        <v>41.7</v>
      </c>
      <c r="F811" s="9">
        <v>66</v>
      </c>
      <c r="G811" s="9">
        <f t="shared" si="12"/>
        <v>107.7</v>
      </c>
      <c r="H811" s="8"/>
    </row>
    <row r="812" spans="1:8" ht="22.5" customHeight="1">
      <c r="A812" s="8" t="s">
        <v>58</v>
      </c>
      <c r="B812" s="8" t="str">
        <f>"许盼盼"</f>
        <v>许盼盼</v>
      </c>
      <c r="C812" s="8" t="str">
        <f>"341127198808202029"</f>
        <v>341127198808202029</v>
      </c>
      <c r="D812" s="8" t="str">
        <f>"20200302501"</f>
        <v>20200302501</v>
      </c>
      <c r="E812" s="9">
        <v>37.3</v>
      </c>
      <c r="F812" s="9">
        <v>70</v>
      </c>
      <c r="G812" s="9">
        <f t="shared" si="12"/>
        <v>107.3</v>
      </c>
      <c r="H812" s="8"/>
    </row>
    <row r="813" spans="1:8" ht="22.5" customHeight="1">
      <c r="A813" s="8" t="s">
        <v>58</v>
      </c>
      <c r="B813" s="8" t="str">
        <f>"刘文学"</f>
        <v>刘文学</v>
      </c>
      <c r="C813" s="8" t="str">
        <f>"341182199212143020"</f>
        <v>341182199212143020</v>
      </c>
      <c r="D813" s="8" t="str">
        <f>"20200302502"</f>
        <v>20200302502</v>
      </c>
      <c r="E813" s="9">
        <v>41</v>
      </c>
      <c r="F813" s="9">
        <v>66</v>
      </c>
      <c r="G813" s="9">
        <f t="shared" si="12"/>
        <v>107</v>
      </c>
      <c r="H813" s="8"/>
    </row>
    <row r="814" spans="1:8" ht="22.5" customHeight="1">
      <c r="A814" s="8" t="s">
        <v>58</v>
      </c>
      <c r="B814" s="8" t="str">
        <f>"吴雅倩"</f>
        <v>吴雅倩</v>
      </c>
      <c r="C814" s="8" t="str">
        <f>"341182199704103025"</f>
        <v>341182199704103025</v>
      </c>
      <c r="D814" s="8" t="str">
        <f>"20200302406"</f>
        <v>20200302406</v>
      </c>
      <c r="E814" s="9">
        <v>37.6</v>
      </c>
      <c r="F814" s="9">
        <v>69</v>
      </c>
      <c r="G814" s="9">
        <f t="shared" si="12"/>
        <v>106.6</v>
      </c>
      <c r="H814" s="8"/>
    </row>
    <row r="815" spans="1:8" ht="22.5" customHeight="1">
      <c r="A815" s="8" t="s">
        <v>58</v>
      </c>
      <c r="B815" s="8" t="str">
        <f>"解立凯"</f>
        <v>解立凯</v>
      </c>
      <c r="C815" s="8" t="str">
        <f>"131082199304225811"</f>
        <v>131082199304225811</v>
      </c>
      <c r="D815" s="8" t="str">
        <f>"20200302628"</f>
        <v>20200302628</v>
      </c>
      <c r="E815" s="9">
        <v>40</v>
      </c>
      <c r="F815" s="9">
        <v>66.5</v>
      </c>
      <c r="G815" s="9">
        <f t="shared" si="12"/>
        <v>106.5</v>
      </c>
      <c r="H815" s="8"/>
    </row>
    <row r="816" spans="1:8" ht="22.5" customHeight="1">
      <c r="A816" s="8" t="s">
        <v>58</v>
      </c>
      <c r="B816" s="8" t="str">
        <f>"张仁翠"</f>
        <v>张仁翠</v>
      </c>
      <c r="C816" s="8" t="str">
        <f>"341127199103234228"</f>
        <v>341127199103234228</v>
      </c>
      <c r="D816" s="8" t="str">
        <f>"20200302810"</f>
        <v>20200302810</v>
      </c>
      <c r="E816" s="9">
        <v>41</v>
      </c>
      <c r="F816" s="9">
        <v>65</v>
      </c>
      <c r="G816" s="9">
        <f t="shared" si="12"/>
        <v>106</v>
      </c>
      <c r="H816" s="8"/>
    </row>
    <row r="817" spans="1:8" ht="22.5" customHeight="1">
      <c r="A817" s="8" t="s">
        <v>58</v>
      </c>
      <c r="B817" s="8" t="str">
        <f>"詹丹丹"</f>
        <v>詹丹丹</v>
      </c>
      <c r="C817" s="8" t="str">
        <f>"341182198912060029"</f>
        <v>341182198912060029</v>
      </c>
      <c r="D817" s="8" t="str">
        <f>"20200302616"</f>
        <v>20200302616</v>
      </c>
      <c r="E817" s="9">
        <v>40.7</v>
      </c>
      <c r="F817" s="9">
        <v>65</v>
      </c>
      <c r="G817" s="9">
        <f t="shared" si="12"/>
        <v>105.7</v>
      </c>
      <c r="H817" s="8"/>
    </row>
    <row r="818" spans="1:8" ht="22.5" customHeight="1">
      <c r="A818" s="8" t="s">
        <v>58</v>
      </c>
      <c r="B818" s="8" t="str">
        <f>"王舒雅"</f>
        <v>王舒雅</v>
      </c>
      <c r="C818" s="8" t="str">
        <f>"34118219891016422X"</f>
        <v>34118219891016422X</v>
      </c>
      <c r="D818" s="8" t="str">
        <f>"20200302615"</f>
        <v>20200302615</v>
      </c>
      <c r="E818" s="9">
        <v>31.4</v>
      </c>
      <c r="F818" s="9">
        <v>68.5</v>
      </c>
      <c r="G818" s="9">
        <f t="shared" si="12"/>
        <v>99.9</v>
      </c>
      <c r="H818" s="8"/>
    </row>
    <row r="819" spans="1:8" ht="22.5" customHeight="1">
      <c r="A819" s="8" t="s">
        <v>58</v>
      </c>
      <c r="B819" s="8" t="str">
        <f>"郑凌峰"</f>
        <v>郑凌峰</v>
      </c>
      <c r="C819" s="8" t="str">
        <f>"341181199305130038"</f>
        <v>341181199305130038</v>
      </c>
      <c r="D819" s="8" t="str">
        <f>"20200302422"</f>
        <v>20200302422</v>
      </c>
      <c r="E819" s="9">
        <v>35.5</v>
      </c>
      <c r="F819" s="9">
        <v>62.5</v>
      </c>
      <c r="G819" s="9">
        <f t="shared" si="12"/>
        <v>98</v>
      </c>
      <c r="H819" s="8"/>
    </row>
    <row r="820" spans="1:8" ht="22.5" customHeight="1">
      <c r="A820" s="8" t="s">
        <v>58</v>
      </c>
      <c r="B820" s="8" t="str">
        <f>"李宗峦"</f>
        <v>李宗峦</v>
      </c>
      <c r="C820" s="8" t="str">
        <f>"341182198912193016"</f>
        <v>341182198912193016</v>
      </c>
      <c r="D820" s="8" t="str">
        <f>"20200302521"</f>
        <v>20200302521</v>
      </c>
      <c r="E820" s="9">
        <v>48.8</v>
      </c>
      <c r="F820" s="9">
        <v>8</v>
      </c>
      <c r="G820" s="9">
        <f t="shared" si="12"/>
        <v>56.8</v>
      </c>
      <c r="H820" s="8"/>
    </row>
    <row r="821" spans="1:8" ht="22.5" customHeight="1">
      <c r="A821" s="8" t="s">
        <v>58</v>
      </c>
      <c r="B821" s="8" t="str">
        <f>"陈东"</f>
        <v>陈东</v>
      </c>
      <c r="C821" s="8" t="str">
        <f>"341124198406300233"</f>
        <v>341124198406300233</v>
      </c>
      <c r="D821" s="8" t="str">
        <f>"20200302218"</f>
        <v>20200302218</v>
      </c>
      <c r="E821" s="9">
        <v>0</v>
      </c>
      <c r="F821" s="9">
        <v>0</v>
      </c>
      <c r="G821" s="9">
        <f t="shared" si="12"/>
        <v>0</v>
      </c>
      <c r="H821" s="8" t="s">
        <v>10</v>
      </c>
    </row>
    <row r="822" spans="1:8" ht="22.5" customHeight="1">
      <c r="A822" s="8" t="s">
        <v>58</v>
      </c>
      <c r="B822" s="8" t="str">
        <f>"沈瑞"</f>
        <v>沈瑞</v>
      </c>
      <c r="C822" s="8" t="str">
        <f>"320830199303020023"</f>
        <v>320830199303020023</v>
      </c>
      <c r="D822" s="8" t="str">
        <f>"20200302308"</f>
        <v>20200302308</v>
      </c>
      <c r="E822" s="9">
        <v>0</v>
      </c>
      <c r="F822" s="9">
        <v>0</v>
      </c>
      <c r="G822" s="9">
        <f t="shared" si="12"/>
        <v>0</v>
      </c>
      <c r="H822" s="8" t="s">
        <v>10</v>
      </c>
    </row>
    <row r="823" spans="1:8" ht="22.5" customHeight="1">
      <c r="A823" s="8" t="s">
        <v>58</v>
      </c>
      <c r="B823" s="8" t="str">
        <f>"张旭"</f>
        <v>张旭</v>
      </c>
      <c r="C823" s="8" t="str">
        <f>"34118219960317203X"</f>
        <v>34118219960317203X</v>
      </c>
      <c r="D823" s="8" t="str">
        <f>"20200302321"</f>
        <v>20200302321</v>
      </c>
      <c r="E823" s="9">
        <v>0</v>
      </c>
      <c r="F823" s="9">
        <v>0</v>
      </c>
      <c r="G823" s="9">
        <f t="shared" si="12"/>
        <v>0</v>
      </c>
      <c r="H823" s="8" t="s">
        <v>10</v>
      </c>
    </row>
    <row r="824" spans="1:8" ht="22.5" customHeight="1">
      <c r="A824" s="8" t="s">
        <v>58</v>
      </c>
      <c r="B824" s="8" t="str">
        <f>"侯伟康"</f>
        <v>侯伟康</v>
      </c>
      <c r="C824" s="8" t="str">
        <f>"34118219920910221X"</f>
        <v>34118219920910221X</v>
      </c>
      <c r="D824" s="8" t="str">
        <f>"20200302405"</f>
        <v>20200302405</v>
      </c>
      <c r="E824" s="9">
        <v>0</v>
      </c>
      <c r="F824" s="9">
        <v>0</v>
      </c>
      <c r="G824" s="9">
        <f t="shared" si="12"/>
        <v>0</v>
      </c>
      <c r="H824" s="8" t="s">
        <v>10</v>
      </c>
    </row>
    <row r="825" spans="1:8" ht="22.5" customHeight="1">
      <c r="A825" s="8" t="s">
        <v>58</v>
      </c>
      <c r="B825" s="8" t="str">
        <f>"强乃涛"</f>
        <v>强乃涛</v>
      </c>
      <c r="C825" s="8" t="str">
        <f>"321081199510265733"</f>
        <v>321081199510265733</v>
      </c>
      <c r="D825" s="8" t="str">
        <f>"20200302411"</f>
        <v>20200302411</v>
      </c>
      <c r="E825" s="9">
        <v>0</v>
      </c>
      <c r="F825" s="9">
        <v>0</v>
      </c>
      <c r="G825" s="9">
        <f t="shared" si="12"/>
        <v>0</v>
      </c>
      <c r="H825" s="8" t="s">
        <v>10</v>
      </c>
    </row>
    <row r="826" spans="1:8" ht="22.5" customHeight="1">
      <c r="A826" s="8" t="s">
        <v>58</v>
      </c>
      <c r="B826" s="8" t="str">
        <f>"朱子端"</f>
        <v>朱子端</v>
      </c>
      <c r="C826" s="8" t="str">
        <f>"341182199510182239"</f>
        <v>341182199510182239</v>
      </c>
      <c r="D826" s="8" t="str">
        <f>"20200302425"</f>
        <v>20200302425</v>
      </c>
      <c r="E826" s="9">
        <v>0</v>
      </c>
      <c r="F826" s="9">
        <v>0</v>
      </c>
      <c r="G826" s="9">
        <f t="shared" si="12"/>
        <v>0</v>
      </c>
      <c r="H826" s="8" t="s">
        <v>10</v>
      </c>
    </row>
    <row r="827" spans="1:8" ht="22.5" customHeight="1">
      <c r="A827" s="8" t="s">
        <v>58</v>
      </c>
      <c r="B827" s="8" t="str">
        <f>"辛宇"</f>
        <v>辛宇</v>
      </c>
      <c r="C827" s="8" t="str">
        <f>"341182199002100014"</f>
        <v>341182199002100014</v>
      </c>
      <c r="D827" s="8" t="str">
        <f>"20200302428"</f>
        <v>20200302428</v>
      </c>
      <c r="E827" s="9">
        <v>0</v>
      </c>
      <c r="F827" s="9">
        <v>0</v>
      </c>
      <c r="G827" s="9">
        <f t="shared" si="12"/>
        <v>0</v>
      </c>
      <c r="H827" s="8" t="s">
        <v>10</v>
      </c>
    </row>
    <row r="828" spans="1:8" ht="22.5" customHeight="1">
      <c r="A828" s="8" t="s">
        <v>58</v>
      </c>
      <c r="B828" s="8" t="str">
        <f>"佘冬辉"</f>
        <v>佘冬辉</v>
      </c>
      <c r="C828" s="8" t="str">
        <f>"430521198509157357"</f>
        <v>430521198509157357</v>
      </c>
      <c r="D828" s="8" t="str">
        <f>"20200302520"</f>
        <v>20200302520</v>
      </c>
      <c r="E828" s="9">
        <v>0</v>
      </c>
      <c r="F828" s="9">
        <v>0</v>
      </c>
      <c r="G828" s="9">
        <f t="shared" si="12"/>
        <v>0</v>
      </c>
      <c r="H828" s="8" t="s">
        <v>10</v>
      </c>
    </row>
    <row r="829" spans="1:8" ht="22.5" customHeight="1">
      <c r="A829" s="8" t="s">
        <v>58</v>
      </c>
      <c r="B829" s="8" t="str">
        <f>"周甜甜"</f>
        <v>周甜甜</v>
      </c>
      <c r="C829" s="8" t="str">
        <f>"341182199405080222"</f>
        <v>341182199405080222</v>
      </c>
      <c r="D829" s="8" t="str">
        <f>"20200302526"</f>
        <v>20200302526</v>
      </c>
      <c r="E829" s="9">
        <v>0</v>
      </c>
      <c r="F829" s="9">
        <v>0</v>
      </c>
      <c r="G829" s="9">
        <f t="shared" si="12"/>
        <v>0</v>
      </c>
      <c r="H829" s="8" t="s">
        <v>10</v>
      </c>
    </row>
    <row r="830" spans="1:8" ht="22.5" customHeight="1">
      <c r="A830" s="8" t="s">
        <v>58</v>
      </c>
      <c r="B830" s="8" t="str">
        <f>"杨云云"</f>
        <v>杨云云</v>
      </c>
      <c r="C830" s="8" t="str">
        <f>"341181199801073028"</f>
        <v>341181199801073028</v>
      </c>
      <c r="D830" s="8" t="str">
        <f>"20200302609"</f>
        <v>20200302609</v>
      </c>
      <c r="E830" s="9">
        <v>0</v>
      </c>
      <c r="F830" s="9">
        <v>0</v>
      </c>
      <c r="G830" s="9">
        <f t="shared" si="12"/>
        <v>0</v>
      </c>
      <c r="H830" s="8" t="s">
        <v>10</v>
      </c>
    </row>
    <row r="831" spans="1:8" ht="22.5" customHeight="1">
      <c r="A831" s="8" t="s">
        <v>58</v>
      </c>
      <c r="B831" s="8" t="str">
        <f>"王寿菊"</f>
        <v>王寿菊</v>
      </c>
      <c r="C831" s="8" t="str">
        <f>"341182198906285627"</f>
        <v>341182198906285627</v>
      </c>
      <c r="D831" s="8" t="str">
        <f>"20200302614"</f>
        <v>20200302614</v>
      </c>
      <c r="E831" s="9">
        <v>0</v>
      </c>
      <c r="F831" s="9">
        <v>0</v>
      </c>
      <c r="G831" s="9">
        <f t="shared" si="12"/>
        <v>0</v>
      </c>
      <c r="H831" s="8" t="s">
        <v>10</v>
      </c>
    </row>
    <row r="832" spans="1:8" ht="22.5" customHeight="1">
      <c r="A832" s="8" t="s">
        <v>58</v>
      </c>
      <c r="B832" s="8" t="str">
        <f>"曹凯旋"</f>
        <v>曹凯旋</v>
      </c>
      <c r="C832" s="8" t="str">
        <f>"341182199002030634"</f>
        <v>341182199002030634</v>
      </c>
      <c r="D832" s="8" t="str">
        <f>"20200302619"</f>
        <v>20200302619</v>
      </c>
      <c r="E832" s="9">
        <v>0</v>
      </c>
      <c r="F832" s="9">
        <v>0</v>
      </c>
      <c r="G832" s="9">
        <f t="shared" si="12"/>
        <v>0</v>
      </c>
      <c r="H832" s="8" t="s">
        <v>10</v>
      </c>
    </row>
    <row r="833" spans="1:8" ht="22.5" customHeight="1">
      <c r="A833" s="8" t="s">
        <v>58</v>
      </c>
      <c r="B833" s="8" t="str">
        <f>"敖冉"</f>
        <v>敖冉</v>
      </c>
      <c r="C833" s="8" t="str">
        <f>"341182199411100023"</f>
        <v>341182199411100023</v>
      </c>
      <c r="D833" s="8" t="str">
        <f>"20200302622"</f>
        <v>20200302622</v>
      </c>
      <c r="E833" s="9">
        <v>0</v>
      </c>
      <c r="F833" s="9">
        <v>0</v>
      </c>
      <c r="G833" s="9">
        <f t="shared" si="12"/>
        <v>0</v>
      </c>
      <c r="H833" s="8" t="s">
        <v>10</v>
      </c>
    </row>
    <row r="834" spans="1:8" ht="22.5" customHeight="1">
      <c r="A834" s="8" t="s">
        <v>58</v>
      </c>
      <c r="B834" s="8" t="str">
        <f>"张昊天"</f>
        <v>张昊天</v>
      </c>
      <c r="C834" s="8" t="str">
        <f>"341182199002030028"</f>
        <v>341182199002030028</v>
      </c>
      <c r="D834" s="8" t="str">
        <f>"20200302624"</f>
        <v>20200302624</v>
      </c>
      <c r="E834" s="9">
        <v>0</v>
      </c>
      <c r="F834" s="9">
        <v>0</v>
      </c>
      <c r="G834" s="9">
        <f t="shared" si="12"/>
        <v>0</v>
      </c>
      <c r="H834" s="8" t="s">
        <v>10</v>
      </c>
    </row>
    <row r="835" spans="1:8" ht="22.5" customHeight="1">
      <c r="A835" s="8" t="s">
        <v>58</v>
      </c>
      <c r="B835" s="8" t="str">
        <f>"陈培培"</f>
        <v>陈培培</v>
      </c>
      <c r="C835" s="8" t="str">
        <f>"34112519920610532X"</f>
        <v>34112519920610532X</v>
      </c>
      <c r="D835" s="8" t="str">
        <f>"20200302703"</f>
        <v>20200302703</v>
      </c>
      <c r="E835" s="9">
        <v>0</v>
      </c>
      <c r="F835" s="9">
        <v>0</v>
      </c>
      <c r="G835" s="9">
        <f aca="true" t="shared" si="13" ref="G835:G898">E835+F835</f>
        <v>0</v>
      </c>
      <c r="H835" s="8" t="s">
        <v>10</v>
      </c>
    </row>
    <row r="836" spans="1:8" ht="22.5" customHeight="1">
      <c r="A836" s="8" t="s">
        <v>58</v>
      </c>
      <c r="B836" s="8" t="str">
        <f>"马春媛"</f>
        <v>马春媛</v>
      </c>
      <c r="C836" s="8" t="str">
        <f>"341182199203064427"</f>
        <v>341182199203064427</v>
      </c>
      <c r="D836" s="8" t="str">
        <f>"20200302704"</f>
        <v>20200302704</v>
      </c>
      <c r="E836" s="9">
        <v>0</v>
      </c>
      <c r="F836" s="9">
        <v>0</v>
      </c>
      <c r="G836" s="9">
        <f t="shared" si="13"/>
        <v>0</v>
      </c>
      <c r="H836" s="8" t="s">
        <v>10</v>
      </c>
    </row>
    <row r="837" spans="1:8" ht="22.5" customHeight="1">
      <c r="A837" s="8" t="s">
        <v>58</v>
      </c>
      <c r="B837" s="8" t="str">
        <f>"王子莹"</f>
        <v>王子莹</v>
      </c>
      <c r="C837" s="8" t="str">
        <f>"341126199112250223"</f>
        <v>341126199112250223</v>
      </c>
      <c r="D837" s="8" t="str">
        <f>"20200302708"</f>
        <v>20200302708</v>
      </c>
      <c r="E837" s="9">
        <v>0</v>
      </c>
      <c r="F837" s="9">
        <v>0</v>
      </c>
      <c r="G837" s="9">
        <f t="shared" si="13"/>
        <v>0</v>
      </c>
      <c r="H837" s="8" t="s">
        <v>10</v>
      </c>
    </row>
    <row r="838" spans="1:8" ht="22.5" customHeight="1">
      <c r="A838" s="8" t="s">
        <v>58</v>
      </c>
      <c r="B838" s="8" t="str">
        <f>"洪叶"</f>
        <v>洪叶</v>
      </c>
      <c r="C838" s="8" t="str">
        <f>"341182199112060228"</f>
        <v>341182199112060228</v>
      </c>
      <c r="D838" s="8" t="str">
        <f>"20200302710"</f>
        <v>20200302710</v>
      </c>
      <c r="E838" s="9">
        <v>0</v>
      </c>
      <c r="F838" s="9">
        <v>0</v>
      </c>
      <c r="G838" s="9">
        <f t="shared" si="13"/>
        <v>0</v>
      </c>
      <c r="H838" s="8" t="s">
        <v>10</v>
      </c>
    </row>
    <row r="839" spans="1:8" ht="22.5" customHeight="1">
      <c r="A839" s="8" t="s">
        <v>58</v>
      </c>
      <c r="B839" s="8" t="str">
        <f>"王硕"</f>
        <v>王硕</v>
      </c>
      <c r="C839" s="8" t="str">
        <f>"341182199202080433"</f>
        <v>341182199202080433</v>
      </c>
      <c r="D839" s="8" t="str">
        <f>"20200302714"</f>
        <v>20200302714</v>
      </c>
      <c r="E839" s="9">
        <v>0</v>
      </c>
      <c r="F839" s="9">
        <v>0</v>
      </c>
      <c r="G839" s="9">
        <f t="shared" si="13"/>
        <v>0</v>
      </c>
      <c r="H839" s="8" t="s">
        <v>10</v>
      </c>
    </row>
    <row r="840" spans="1:8" ht="22.5" customHeight="1">
      <c r="A840" s="8" t="s">
        <v>58</v>
      </c>
      <c r="B840" s="8" t="str">
        <f>"张正"</f>
        <v>张正</v>
      </c>
      <c r="C840" s="8" t="str">
        <f>"341182199505130215"</f>
        <v>341182199505130215</v>
      </c>
      <c r="D840" s="8" t="str">
        <f>"20200302720"</f>
        <v>20200302720</v>
      </c>
      <c r="E840" s="9">
        <v>0</v>
      </c>
      <c r="F840" s="9">
        <v>0</v>
      </c>
      <c r="G840" s="9">
        <f t="shared" si="13"/>
        <v>0</v>
      </c>
      <c r="H840" s="8" t="s">
        <v>10</v>
      </c>
    </row>
    <row r="841" spans="1:8" ht="22.5" customHeight="1">
      <c r="A841" s="8" t="s">
        <v>58</v>
      </c>
      <c r="B841" s="8" t="str">
        <f>"王嘉唯"</f>
        <v>王嘉唯</v>
      </c>
      <c r="C841" s="8" t="str">
        <f>"341181199406052614"</f>
        <v>341181199406052614</v>
      </c>
      <c r="D841" s="8" t="str">
        <f>"20200302723"</f>
        <v>20200302723</v>
      </c>
      <c r="E841" s="9">
        <v>0</v>
      </c>
      <c r="F841" s="9">
        <v>0</v>
      </c>
      <c r="G841" s="9">
        <f t="shared" si="13"/>
        <v>0</v>
      </c>
      <c r="H841" s="8" t="s">
        <v>10</v>
      </c>
    </row>
    <row r="842" spans="1:8" ht="22.5" customHeight="1">
      <c r="A842" s="8" t="s">
        <v>58</v>
      </c>
      <c r="B842" s="8" t="str">
        <f>"范晓飞"</f>
        <v>范晓飞</v>
      </c>
      <c r="C842" s="8" t="str">
        <f>"341182198709256237"</f>
        <v>341182198709256237</v>
      </c>
      <c r="D842" s="8" t="str">
        <f>"20200302730"</f>
        <v>20200302730</v>
      </c>
      <c r="E842" s="9">
        <v>0</v>
      </c>
      <c r="F842" s="9">
        <v>0</v>
      </c>
      <c r="G842" s="9">
        <f t="shared" si="13"/>
        <v>0</v>
      </c>
      <c r="H842" s="8" t="s">
        <v>10</v>
      </c>
    </row>
    <row r="843" spans="1:8" ht="22.5" customHeight="1">
      <c r="A843" s="8" t="s">
        <v>58</v>
      </c>
      <c r="B843" s="8" t="str">
        <f>"管理"</f>
        <v>管理</v>
      </c>
      <c r="C843" s="8" t="str">
        <f>"341126199302050011"</f>
        <v>341126199302050011</v>
      </c>
      <c r="D843" s="8" t="str">
        <f>"20200302808"</f>
        <v>20200302808</v>
      </c>
      <c r="E843" s="9">
        <v>0</v>
      </c>
      <c r="F843" s="9">
        <v>0</v>
      </c>
      <c r="G843" s="9">
        <f t="shared" si="13"/>
        <v>0</v>
      </c>
      <c r="H843" s="8" t="s">
        <v>10</v>
      </c>
    </row>
    <row r="844" spans="1:8" ht="22.5" customHeight="1">
      <c r="A844" s="8" t="s">
        <v>58</v>
      </c>
      <c r="B844" s="8" t="str">
        <f>"马学原"</f>
        <v>马学原</v>
      </c>
      <c r="C844" s="8" t="str">
        <f>"341126199210036714"</f>
        <v>341126199210036714</v>
      </c>
      <c r="D844" s="8" t="str">
        <f>"20200302813"</f>
        <v>20200302813</v>
      </c>
      <c r="E844" s="9">
        <v>0</v>
      </c>
      <c r="F844" s="9">
        <v>0</v>
      </c>
      <c r="G844" s="9">
        <f t="shared" si="13"/>
        <v>0</v>
      </c>
      <c r="H844" s="8" t="s">
        <v>10</v>
      </c>
    </row>
    <row r="845" spans="1:8" ht="22.5" customHeight="1">
      <c r="A845" s="8" t="s">
        <v>58</v>
      </c>
      <c r="B845" s="8" t="str">
        <f>"沈艳杰"</f>
        <v>沈艳杰</v>
      </c>
      <c r="C845" s="8" t="str">
        <f>"231083199010122729"</f>
        <v>231083199010122729</v>
      </c>
      <c r="D845" s="8" t="str">
        <f>"20200302822"</f>
        <v>20200302822</v>
      </c>
      <c r="E845" s="9">
        <v>0</v>
      </c>
      <c r="F845" s="9">
        <v>0</v>
      </c>
      <c r="G845" s="9">
        <f t="shared" si="13"/>
        <v>0</v>
      </c>
      <c r="H845" s="8" t="s">
        <v>10</v>
      </c>
    </row>
    <row r="846" spans="1:8" ht="22.5" customHeight="1">
      <c r="A846" s="8" t="s">
        <v>58</v>
      </c>
      <c r="B846" s="8" t="str">
        <f>"张梦婷"</f>
        <v>张梦婷</v>
      </c>
      <c r="C846" s="8" t="str">
        <f>"342201198808060625"</f>
        <v>342201198808060625</v>
      </c>
      <c r="D846" s="8" t="str">
        <f>"20200302828"</f>
        <v>20200302828</v>
      </c>
      <c r="E846" s="9">
        <v>0</v>
      </c>
      <c r="F846" s="9">
        <v>0</v>
      </c>
      <c r="G846" s="9">
        <f t="shared" si="13"/>
        <v>0</v>
      </c>
      <c r="H846" s="8" t="s">
        <v>10</v>
      </c>
    </row>
    <row r="847" spans="1:8" ht="22.5" customHeight="1">
      <c r="A847" s="8" t="s">
        <v>58</v>
      </c>
      <c r="B847" s="8" t="str">
        <f>"李慧慧"</f>
        <v>李慧慧</v>
      </c>
      <c r="C847" s="8" t="str">
        <f>"341223199008122324"</f>
        <v>341223199008122324</v>
      </c>
      <c r="D847" s="8" t="str">
        <f>"20200302902"</f>
        <v>20200302902</v>
      </c>
      <c r="E847" s="9">
        <v>0</v>
      </c>
      <c r="F847" s="9">
        <v>0</v>
      </c>
      <c r="G847" s="9">
        <f t="shared" si="13"/>
        <v>0</v>
      </c>
      <c r="H847" s="8" t="s">
        <v>10</v>
      </c>
    </row>
    <row r="848" spans="1:8" ht="22.5" customHeight="1">
      <c r="A848" s="8" t="s">
        <v>58</v>
      </c>
      <c r="B848" s="8" t="str">
        <f>"王薇"</f>
        <v>王薇</v>
      </c>
      <c r="C848" s="8" t="str">
        <f>"341182199502021021"</f>
        <v>341182199502021021</v>
      </c>
      <c r="D848" s="8" t="str">
        <f>"20200302904"</f>
        <v>20200302904</v>
      </c>
      <c r="E848" s="9">
        <v>0</v>
      </c>
      <c r="F848" s="9">
        <v>0</v>
      </c>
      <c r="G848" s="9">
        <f t="shared" si="13"/>
        <v>0</v>
      </c>
      <c r="H848" s="8" t="s">
        <v>10</v>
      </c>
    </row>
    <row r="849" spans="1:8" ht="22.5" customHeight="1">
      <c r="A849" s="8" t="s">
        <v>58</v>
      </c>
      <c r="B849" s="8" t="str">
        <f>"罗加丽"</f>
        <v>罗加丽</v>
      </c>
      <c r="C849" s="8" t="str">
        <f>"341182199606073627"</f>
        <v>341182199606073627</v>
      </c>
      <c r="D849" s="8" t="str">
        <f>"20200302906"</f>
        <v>20200302906</v>
      </c>
      <c r="E849" s="9">
        <v>0</v>
      </c>
      <c r="F849" s="9">
        <v>0</v>
      </c>
      <c r="G849" s="9">
        <f t="shared" si="13"/>
        <v>0</v>
      </c>
      <c r="H849" s="8" t="s">
        <v>10</v>
      </c>
    </row>
    <row r="850" spans="1:8" ht="22.5" customHeight="1">
      <c r="A850" s="8" t="s">
        <v>58</v>
      </c>
      <c r="B850" s="8" t="str">
        <f>"邹建武"</f>
        <v>邹建武</v>
      </c>
      <c r="C850" s="8" t="str">
        <f>"341126199504300015"</f>
        <v>341126199504300015</v>
      </c>
      <c r="D850" s="8" t="str">
        <f>"20200302907"</f>
        <v>20200302907</v>
      </c>
      <c r="E850" s="9">
        <v>0</v>
      </c>
      <c r="F850" s="9">
        <v>0</v>
      </c>
      <c r="G850" s="9">
        <f t="shared" si="13"/>
        <v>0</v>
      </c>
      <c r="H850" s="8" t="s">
        <v>10</v>
      </c>
    </row>
    <row r="851" spans="1:8" ht="22.5" customHeight="1">
      <c r="A851" s="8" t="s">
        <v>58</v>
      </c>
      <c r="B851" s="8" t="str">
        <f>"徐建宁"</f>
        <v>徐建宁</v>
      </c>
      <c r="C851" s="8" t="str">
        <f>"320324199410086517"</f>
        <v>320324199410086517</v>
      </c>
      <c r="D851" s="8" t="str">
        <f>"20200302908"</f>
        <v>20200302908</v>
      </c>
      <c r="E851" s="9">
        <v>0</v>
      </c>
      <c r="F851" s="9">
        <v>0</v>
      </c>
      <c r="G851" s="9">
        <f t="shared" si="13"/>
        <v>0</v>
      </c>
      <c r="H851" s="8" t="s">
        <v>10</v>
      </c>
    </row>
    <row r="852" spans="1:8" ht="22.5" customHeight="1">
      <c r="A852" s="8" t="s">
        <v>59</v>
      </c>
      <c r="B852" s="8" t="str">
        <f>"张越"</f>
        <v>张越</v>
      </c>
      <c r="C852" s="8" t="str">
        <f>"341182199710010423"</f>
        <v>341182199710010423</v>
      </c>
      <c r="D852" s="8" t="str">
        <f>"20200302913"</f>
        <v>20200302913</v>
      </c>
      <c r="E852" s="9">
        <v>56.2</v>
      </c>
      <c r="F852" s="9">
        <v>79.5</v>
      </c>
      <c r="G852" s="9">
        <f t="shared" si="13"/>
        <v>135.7</v>
      </c>
      <c r="H852" s="8"/>
    </row>
    <row r="853" spans="1:8" ht="22.5" customHeight="1">
      <c r="A853" s="8" t="s">
        <v>59</v>
      </c>
      <c r="B853" s="8" t="str">
        <f>"梁颖"</f>
        <v>梁颖</v>
      </c>
      <c r="C853" s="8" t="str">
        <f>"34118219970330102X"</f>
        <v>34118219970330102X</v>
      </c>
      <c r="D853" s="8" t="str">
        <f>"20200302911"</f>
        <v>20200302911</v>
      </c>
      <c r="E853" s="9">
        <v>59.1</v>
      </c>
      <c r="F853" s="9">
        <v>76.5</v>
      </c>
      <c r="G853" s="9">
        <f t="shared" si="13"/>
        <v>135.6</v>
      </c>
      <c r="H853" s="8"/>
    </row>
    <row r="854" spans="1:8" ht="22.5" customHeight="1">
      <c r="A854" s="8" t="s">
        <v>59</v>
      </c>
      <c r="B854" s="8" t="str">
        <f>"袁玉业"</f>
        <v>袁玉业</v>
      </c>
      <c r="C854" s="8" t="str">
        <f>"341182199801052645"</f>
        <v>341182199801052645</v>
      </c>
      <c r="D854" s="8" t="str">
        <f>"20200302912"</f>
        <v>20200302912</v>
      </c>
      <c r="E854" s="9">
        <v>50.8</v>
      </c>
      <c r="F854" s="9">
        <v>72.5</v>
      </c>
      <c r="G854" s="9">
        <f t="shared" si="13"/>
        <v>123.3</v>
      </c>
      <c r="H854" s="8"/>
    </row>
    <row r="855" spans="1:8" ht="22.5" customHeight="1">
      <c r="A855" s="8" t="s">
        <v>59</v>
      </c>
      <c r="B855" s="8" t="str">
        <f>"王欢欢"</f>
        <v>王欢欢</v>
      </c>
      <c r="C855" s="8" t="str">
        <f>"341182199706161229"</f>
        <v>341182199706161229</v>
      </c>
      <c r="D855" s="8" t="str">
        <f>"20200302910"</f>
        <v>20200302910</v>
      </c>
      <c r="E855" s="9">
        <v>40.2</v>
      </c>
      <c r="F855" s="9">
        <v>71.5</v>
      </c>
      <c r="G855" s="9">
        <f t="shared" si="13"/>
        <v>111.7</v>
      </c>
      <c r="H855" s="8"/>
    </row>
    <row r="856" spans="1:8" ht="22.5" customHeight="1">
      <c r="A856" s="8" t="s">
        <v>60</v>
      </c>
      <c r="B856" s="8" t="str">
        <f>"陈昊"</f>
        <v>陈昊</v>
      </c>
      <c r="C856" s="8" t="str">
        <f>"341182199808270469"</f>
        <v>341182199808270469</v>
      </c>
      <c r="D856" s="8" t="str">
        <f>"20200302916"</f>
        <v>20200302916</v>
      </c>
      <c r="E856" s="9">
        <v>69.2</v>
      </c>
      <c r="F856" s="9">
        <v>74</v>
      </c>
      <c r="G856" s="9">
        <f t="shared" si="13"/>
        <v>143.2</v>
      </c>
      <c r="H856" s="8"/>
    </row>
    <row r="857" spans="1:8" ht="22.5" customHeight="1">
      <c r="A857" s="8" t="s">
        <v>60</v>
      </c>
      <c r="B857" s="8" t="str">
        <f>"孙常静"</f>
        <v>孙常静</v>
      </c>
      <c r="C857" s="8" t="str">
        <f>"341182199803032621"</f>
        <v>341182199803032621</v>
      </c>
      <c r="D857" s="8" t="str">
        <f>"20200302914"</f>
        <v>20200302914</v>
      </c>
      <c r="E857" s="9">
        <v>53.7</v>
      </c>
      <c r="F857" s="9">
        <v>74</v>
      </c>
      <c r="G857" s="9">
        <f t="shared" si="13"/>
        <v>127.7</v>
      </c>
      <c r="H857" s="8"/>
    </row>
    <row r="858" spans="1:8" ht="22.5" customHeight="1">
      <c r="A858" s="8" t="s">
        <v>60</v>
      </c>
      <c r="B858" s="8" t="str">
        <f>"阚瑞"</f>
        <v>阚瑞</v>
      </c>
      <c r="C858" s="8" t="str">
        <f>"341182199702024630"</f>
        <v>341182199702024630</v>
      </c>
      <c r="D858" s="8" t="str">
        <f>"20200302919"</f>
        <v>20200302919</v>
      </c>
      <c r="E858" s="9">
        <v>57.3</v>
      </c>
      <c r="F858" s="9">
        <v>70</v>
      </c>
      <c r="G858" s="9">
        <f t="shared" si="13"/>
        <v>127.3</v>
      </c>
      <c r="H858" s="8"/>
    </row>
    <row r="859" spans="1:8" ht="22.5" customHeight="1">
      <c r="A859" s="8" t="s">
        <v>60</v>
      </c>
      <c r="B859" s="8" t="str">
        <f>"倪前静"</f>
        <v>倪前静</v>
      </c>
      <c r="C859" s="8" t="str">
        <f>"34118219970910262X"</f>
        <v>34118219970910262X</v>
      </c>
      <c r="D859" s="8" t="str">
        <f>"20200302917"</f>
        <v>20200302917</v>
      </c>
      <c r="E859" s="9">
        <v>50.6</v>
      </c>
      <c r="F859" s="9">
        <v>73.5</v>
      </c>
      <c r="G859" s="9">
        <f t="shared" si="13"/>
        <v>124.1</v>
      </c>
      <c r="H859" s="8"/>
    </row>
    <row r="860" spans="1:8" ht="22.5" customHeight="1">
      <c r="A860" s="8" t="s">
        <v>60</v>
      </c>
      <c r="B860" s="8" t="str">
        <f>"顾鑫源"</f>
        <v>顾鑫源</v>
      </c>
      <c r="C860" s="8" t="str">
        <f>"320122199707230061"</f>
        <v>320122199707230061</v>
      </c>
      <c r="D860" s="8" t="str">
        <f>"20200302920"</f>
        <v>20200302920</v>
      </c>
      <c r="E860" s="9">
        <v>50.2</v>
      </c>
      <c r="F860" s="9">
        <v>69.5</v>
      </c>
      <c r="G860" s="9">
        <f t="shared" si="13"/>
        <v>119.7</v>
      </c>
      <c r="H860" s="8"/>
    </row>
    <row r="861" spans="1:8" ht="22.5" customHeight="1">
      <c r="A861" s="8" t="s">
        <v>60</v>
      </c>
      <c r="B861" s="8" t="str">
        <f>"朱佳"</f>
        <v>朱佳</v>
      </c>
      <c r="C861" s="8" t="str">
        <f>"34118219980204302X"</f>
        <v>34118219980204302X</v>
      </c>
      <c r="D861" s="8" t="str">
        <f>"20200302918"</f>
        <v>20200302918</v>
      </c>
      <c r="E861" s="9">
        <v>43.3</v>
      </c>
      <c r="F861" s="9">
        <v>73.5</v>
      </c>
      <c r="G861" s="9">
        <f t="shared" si="13"/>
        <v>116.8</v>
      </c>
      <c r="H861" s="8"/>
    </row>
    <row r="862" spans="1:8" ht="22.5" customHeight="1">
      <c r="A862" s="8" t="s">
        <v>60</v>
      </c>
      <c r="B862" s="8" t="str">
        <f>"单雨心"</f>
        <v>单雨心</v>
      </c>
      <c r="C862" s="8" t="str">
        <f>"341182199604040020"</f>
        <v>341182199604040020</v>
      </c>
      <c r="D862" s="8" t="str">
        <f>"20200302921"</f>
        <v>20200302921</v>
      </c>
      <c r="E862" s="9">
        <v>40.2</v>
      </c>
      <c r="F862" s="9">
        <v>71</v>
      </c>
      <c r="G862" s="9">
        <f t="shared" si="13"/>
        <v>111.2</v>
      </c>
      <c r="H862" s="8"/>
    </row>
    <row r="863" spans="1:8" ht="22.5" customHeight="1">
      <c r="A863" s="8" t="s">
        <v>60</v>
      </c>
      <c r="B863" s="8" t="str">
        <f>"房美尚"</f>
        <v>房美尚</v>
      </c>
      <c r="C863" s="8" t="str">
        <f>"232722199807050423"</f>
        <v>232722199807050423</v>
      </c>
      <c r="D863" s="8" t="str">
        <f>"20200302915"</f>
        <v>20200302915</v>
      </c>
      <c r="E863" s="9">
        <v>0</v>
      </c>
      <c r="F863" s="9">
        <v>0</v>
      </c>
      <c r="G863" s="9">
        <f t="shared" si="13"/>
        <v>0</v>
      </c>
      <c r="H863" s="8" t="s">
        <v>10</v>
      </c>
    </row>
    <row r="864" spans="1:8" ht="22.5" customHeight="1">
      <c r="A864" s="8" t="s">
        <v>61</v>
      </c>
      <c r="B864" s="8" t="str">
        <f>"李倩瑶"</f>
        <v>李倩瑶</v>
      </c>
      <c r="C864" s="8" t="str">
        <f>"341127199010200045"</f>
        <v>341127199010200045</v>
      </c>
      <c r="D864" s="8" t="str">
        <f>"20200303423"</f>
        <v>20200303423</v>
      </c>
      <c r="E864" s="9">
        <v>76.5</v>
      </c>
      <c r="F864" s="9">
        <v>75</v>
      </c>
      <c r="G864" s="9">
        <f t="shared" si="13"/>
        <v>151.5</v>
      </c>
      <c r="H864" s="8"/>
    </row>
    <row r="865" spans="1:8" ht="22.5" customHeight="1">
      <c r="A865" s="8" t="s">
        <v>61</v>
      </c>
      <c r="B865" s="8" t="str">
        <f>"陈翔宇"</f>
        <v>陈翔宇</v>
      </c>
      <c r="C865" s="8" t="str">
        <f>"341182199512140411"</f>
        <v>341182199512140411</v>
      </c>
      <c r="D865" s="8" t="str">
        <f>"20200303416"</f>
        <v>20200303416</v>
      </c>
      <c r="E865" s="9">
        <v>77.2</v>
      </c>
      <c r="F865" s="9">
        <v>72.5</v>
      </c>
      <c r="G865" s="9">
        <f t="shared" si="13"/>
        <v>149.7</v>
      </c>
      <c r="H865" s="8"/>
    </row>
    <row r="866" spans="1:8" ht="22.5" customHeight="1">
      <c r="A866" s="8" t="s">
        <v>61</v>
      </c>
      <c r="B866" s="8" t="str">
        <f>"蔡新欣"</f>
        <v>蔡新欣</v>
      </c>
      <c r="C866" s="8" t="str">
        <f>"341182198903130216"</f>
        <v>341182198903130216</v>
      </c>
      <c r="D866" s="8" t="str">
        <f>"20200303015"</f>
        <v>20200303015</v>
      </c>
      <c r="E866" s="9">
        <v>75.3</v>
      </c>
      <c r="F866" s="9">
        <v>74</v>
      </c>
      <c r="G866" s="9">
        <f t="shared" si="13"/>
        <v>149.3</v>
      </c>
      <c r="H866" s="8"/>
    </row>
    <row r="867" spans="1:8" ht="22.5" customHeight="1">
      <c r="A867" s="8" t="s">
        <v>61</v>
      </c>
      <c r="B867" s="8" t="str">
        <f>"王琦玮"</f>
        <v>王琦玮</v>
      </c>
      <c r="C867" s="8" t="str">
        <f>"341182199306160032"</f>
        <v>341182199306160032</v>
      </c>
      <c r="D867" s="8" t="str">
        <f>"20200303303"</f>
        <v>20200303303</v>
      </c>
      <c r="E867" s="9">
        <v>72.1</v>
      </c>
      <c r="F867" s="9">
        <v>75.5</v>
      </c>
      <c r="G867" s="9">
        <f t="shared" si="13"/>
        <v>147.6</v>
      </c>
      <c r="H867" s="8"/>
    </row>
    <row r="868" spans="1:8" ht="22.5" customHeight="1">
      <c r="A868" s="8" t="s">
        <v>61</v>
      </c>
      <c r="B868" s="8" t="str">
        <f>"杨阳"</f>
        <v>杨阳</v>
      </c>
      <c r="C868" s="8" t="str">
        <f>"341182199501282422"</f>
        <v>341182199501282422</v>
      </c>
      <c r="D868" s="8" t="str">
        <f>"20200303428"</f>
        <v>20200303428</v>
      </c>
      <c r="E868" s="9">
        <v>74.2</v>
      </c>
      <c r="F868" s="9">
        <v>73</v>
      </c>
      <c r="G868" s="9">
        <f t="shared" si="13"/>
        <v>147.2</v>
      </c>
      <c r="H868" s="8"/>
    </row>
    <row r="869" spans="1:8" ht="22.5" customHeight="1">
      <c r="A869" s="8" t="s">
        <v>61</v>
      </c>
      <c r="B869" s="8" t="str">
        <f>"寻振"</f>
        <v>寻振</v>
      </c>
      <c r="C869" s="8" t="str">
        <f>"341182199511020637"</f>
        <v>341182199511020637</v>
      </c>
      <c r="D869" s="8" t="str">
        <f>"20200303407"</f>
        <v>20200303407</v>
      </c>
      <c r="E869" s="9">
        <v>70.7</v>
      </c>
      <c r="F869" s="9">
        <v>74</v>
      </c>
      <c r="G869" s="9">
        <f t="shared" si="13"/>
        <v>144.7</v>
      </c>
      <c r="H869" s="8"/>
    </row>
    <row r="870" spans="1:8" ht="22.5" customHeight="1">
      <c r="A870" s="8" t="s">
        <v>61</v>
      </c>
      <c r="B870" s="8" t="str">
        <f>"丁昊"</f>
        <v>丁昊</v>
      </c>
      <c r="C870" s="8" t="str">
        <f>"341125199807304332"</f>
        <v>341125199807304332</v>
      </c>
      <c r="D870" s="8" t="str">
        <f>"20200303020"</f>
        <v>20200303020</v>
      </c>
      <c r="E870" s="9">
        <v>72.9</v>
      </c>
      <c r="F870" s="9">
        <v>71.5</v>
      </c>
      <c r="G870" s="9">
        <f t="shared" si="13"/>
        <v>144.4</v>
      </c>
      <c r="H870" s="8"/>
    </row>
    <row r="871" spans="1:8" ht="22.5" customHeight="1">
      <c r="A871" s="8" t="s">
        <v>61</v>
      </c>
      <c r="B871" s="8" t="str">
        <f>"刘莹莹"</f>
        <v>刘莹莹</v>
      </c>
      <c r="C871" s="8" t="str">
        <f>"341182199301241642"</f>
        <v>341182199301241642</v>
      </c>
      <c r="D871" s="8" t="str">
        <f>"20200303513"</f>
        <v>20200303513</v>
      </c>
      <c r="E871" s="9">
        <v>69.1</v>
      </c>
      <c r="F871" s="9">
        <v>75</v>
      </c>
      <c r="G871" s="9">
        <f t="shared" si="13"/>
        <v>144.1</v>
      </c>
      <c r="H871" s="8"/>
    </row>
    <row r="872" spans="1:8" ht="22.5" customHeight="1">
      <c r="A872" s="8" t="s">
        <v>61</v>
      </c>
      <c r="B872" s="8" t="str">
        <f>"尹聪"</f>
        <v>尹聪</v>
      </c>
      <c r="C872" s="8" t="str">
        <f>"320830198408106638"</f>
        <v>320830198408106638</v>
      </c>
      <c r="D872" s="8" t="str">
        <f>"20200303130"</f>
        <v>20200303130</v>
      </c>
      <c r="E872" s="9">
        <v>70.9</v>
      </c>
      <c r="F872" s="9">
        <v>71.5</v>
      </c>
      <c r="G872" s="9">
        <f t="shared" si="13"/>
        <v>142.4</v>
      </c>
      <c r="H872" s="8"/>
    </row>
    <row r="873" spans="1:8" ht="22.5" customHeight="1">
      <c r="A873" s="8" t="s">
        <v>61</v>
      </c>
      <c r="B873" s="8" t="str">
        <f>"孙小可"</f>
        <v>孙小可</v>
      </c>
      <c r="C873" s="8" t="str">
        <f>"340322199102100939"</f>
        <v>340322199102100939</v>
      </c>
      <c r="D873" s="8" t="str">
        <f>"20200303105"</f>
        <v>20200303105</v>
      </c>
      <c r="E873" s="9">
        <v>70.9</v>
      </c>
      <c r="F873" s="9">
        <v>71</v>
      </c>
      <c r="G873" s="9">
        <f t="shared" si="13"/>
        <v>141.9</v>
      </c>
      <c r="H873" s="8"/>
    </row>
    <row r="874" spans="1:8" ht="22.5" customHeight="1">
      <c r="A874" s="8" t="s">
        <v>61</v>
      </c>
      <c r="B874" s="8" t="str">
        <f>"马乐银"</f>
        <v>马乐银</v>
      </c>
      <c r="C874" s="8" t="str">
        <f>"341181199005205827"</f>
        <v>341181199005205827</v>
      </c>
      <c r="D874" s="8" t="str">
        <f>"20200303503"</f>
        <v>20200303503</v>
      </c>
      <c r="E874" s="9">
        <v>70.9</v>
      </c>
      <c r="F874" s="9">
        <v>69.5</v>
      </c>
      <c r="G874" s="9">
        <f t="shared" si="13"/>
        <v>140.4</v>
      </c>
      <c r="H874" s="8"/>
    </row>
    <row r="875" spans="1:8" ht="22.5" customHeight="1">
      <c r="A875" s="8" t="s">
        <v>61</v>
      </c>
      <c r="B875" s="8" t="str">
        <f>"陈敏"</f>
        <v>陈敏</v>
      </c>
      <c r="C875" s="8" t="str">
        <f>"341182199406062624"</f>
        <v>341182199406062624</v>
      </c>
      <c r="D875" s="8" t="str">
        <f>"20200303118"</f>
        <v>20200303118</v>
      </c>
      <c r="E875" s="9">
        <v>66.9</v>
      </c>
      <c r="F875" s="9">
        <v>73</v>
      </c>
      <c r="G875" s="9">
        <f t="shared" si="13"/>
        <v>139.9</v>
      </c>
      <c r="H875" s="8"/>
    </row>
    <row r="876" spans="1:8" ht="22.5" customHeight="1">
      <c r="A876" s="8" t="s">
        <v>61</v>
      </c>
      <c r="B876" s="8" t="str">
        <f>"殷钰莹"</f>
        <v>殷钰莹</v>
      </c>
      <c r="C876" s="8" t="str">
        <f>"340823199406120027"</f>
        <v>340823199406120027</v>
      </c>
      <c r="D876" s="8" t="str">
        <f>"20200302925"</f>
        <v>20200302925</v>
      </c>
      <c r="E876" s="9">
        <v>67.7</v>
      </c>
      <c r="F876" s="9">
        <v>71.5</v>
      </c>
      <c r="G876" s="9">
        <f t="shared" si="13"/>
        <v>139.2</v>
      </c>
      <c r="H876" s="8"/>
    </row>
    <row r="877" spans="1:8" ht="22.5" customHeight="1">
      <c r="A877" s="8" t="s">
        <v>61</v>
      </c>
      <c r="B877" s="8" t="str">
        <f>"徐静"</f>
        <v>徐静</v>
      </c>
      <c r="C877" s="8" t="str">
        <f>"341127199201182425"</f>
        <v>341127199201182425</v>
      </c>
      <c r="D877" s="8" t="str">
        <f>"20200303202"</f>
        <v>20200303202</v>
      </c>
      <c r="E877" s="9">
        <v>68.7</v>
      </c>
      <c r="F877" s="9">
        <v>70</v>
      </c>
      <c r="G877" s="9">
        <f t="shared" si="13"/>
        <v>138.7</v>
      </c>
      <c r="H877" s="8"/>
    </row>
    <row r="878" spans="1:8" ht="22.5" customHeight="1">
      <c r="A878" s="8" t="s">
        <v>61</v>
      </c>
      <c r="B878" s="8" t="str">
        <f>"吴乃琦"</f>
        <v>吴乃琦</v>
      </c>
      <c r="C878" s="8" t="str">
        <f>"341102199009291050"</f>
        <v>341102199009291050</v>
      </c>
      <c r="D878" s="8" t="str">
        <f>"20200303225"</f>
        <v>20200303225</v>
      </c>
      <c r="E878" s="9">
        <v>68.6</v>
      </c>
      <c r="F878" s="9">
        <v>70</v>
      </c>
      <c r="G878" s="9">
        <f t="shared" si="13"/>
        <v>138.6</v>
      </c>
      <c r="H878" s="8"/>
    </row>
    <row r="879" spans="1:8" ht="22.5" customHeight="1">
      <c r="A879" s="8" t="s">
        <v>61</v>
      </c>
      <c r="B879" s="8" t="str">
        <f>"陈忠舒"</f>
        <v>陈忠舒</v>
      </c>
      <c r="C879" s="8" t="str">
        <f>"320831199507090230"</f>
        <v>320831199507090230</v>
      </c>
      <c r="D879" s="8" t="str">
        <f>"20200303312"</f>
        <v>20200303312</v>
      </c>
      <c r="E879" s="9">
        <v>65.9</v>
      </c>
      <c r="F879" s="9">
        <v>72.5</v>
      </c>
      <c r="G879" s="9">
        <f t="shared" si="13"/>
        <v>138.4</v>
      </c>
      <c r="H879" s="8"/>
    </row>
    <row r="880" spans="1:8" ht="22.5" customHeight="1">
      <c r="A880" s="8" t="s">
        <v>61</v>
      </c>
      <c r="B880" s="8" t="str">
        <f>"王勇"</f>
        <v>王勇</v>
      </c>
      <c r="C880" s="8" t="str">
        <f>"341103199310223010"</f>
        <v>341103199310223010</v>
      </c>
      <c r="D880" s="8" t="str">
        <f>"20200303412"</f>
        <v>20200303412</v>
      </c>
      <c r="E880" s="9">
        <v>70.8</v>
      </c>
      <c r="F880" s="9">
        <v>67.5</v>
      </c>
      <c r="G880" s="9">
        <f t="shared" si="13"/>
        <v>138.3</v>
      </c>
      <c r="H880" s="8"/>
    </row>
    <row r="881" spans="1:8" ht="22.5" customHeight="1">
      <c r="A881" s="8" t="s">
        <v>61</v>
      </c>
      <c r="B881" s="8" t="str">
        <f>"刘顺"</f>
        <v>刘顺</v>
      </c>
      <c r="C881" s="8" t="str">
        <f>"341126199607101238"</f>
        <v>341126199607101238</v>
      </c>
      <c r="D881" s="8" t="str">
        <f>"20200302930"</f>
        <v>20200302930</v>
      </c>
      <c r="E881" s="9">
        <v>72.2</v>
      </c>
      <c r="F881" s="9">
        <v>66</v>
      </c>
      <c r="G881" s="9">
        <f t="shared" si="13"/>
        <v>138.2</v>
      </c>
      <c r="H881" s="8"/>
    </row>
    <row r="882" spans="1:8" ht="22.5" customHeight="1">
      <c r="A882" s="8" t="s">
        <v>61</v>
      </c>
      <c r="B882" s="8" t="str">
        <f>"王骞"</f>
        <v>王骞</v>
      </c>
      <c r="C882" s="8" t="str">
        <f>"341126199504173239"</f>
        <v>341126199504173239</v>
      </c>
      <c r="D882" s="8" t="str">
        <f>"20200303125"</f>
        <v>20200303125</v>
      </c>
      <c r="E882" s="9">
        <v>66</v>
      </c>
      <c r="F882" s="9">
        <v>72</v>
      </c>
      <c r="G882" s="9">
        <f t="shared" si="13"/>
        <v>138</v>
      </c>
      <c r="H882" s="8"/>
    </row>
    <row r="883" spans="1:8" ht="22.5" customHeight="1">
      <c r="A883" s="8" t="s">
        <v>61</v>
      </c>
      <c r="B883" s="8" t="str">
        <f>"王昕晗"</f>
        <v>王昕晗</v>
      </c>
      <c r="C883" s="8" t="str">
        <f>"341182199207090016"</f>
        <v>341182199207090016</v>
      </c>
      <c r="D883" s="8" t="str">
        <f>"20200303602"</f>
        <v>20200303602</v>
      </c>
      <c r="E883" s="9">
        <v>67.5</v>
      </c>
      <c r="F883" s="9">
        <v>70.5</v>
      </c>
      <c r="G883" s="9">
        <f t="shared" si="13"/>
        <v>138</v>
      </c>
      <c r="H883" s="8"/>
    </row>
    <row r="884" spans="1:8" ht="22.5" customHeight="1">
      <c r="A884" s="8" t="s">
        <v>61</v>
      </c>
      <c r="B884" s="8" t="str">
        <f>"赵宇豪"</f>
        <v>赵宇豪</v>
      </c>
      <c r="C884" s="8" t="str">
        <f>"341126199405284814"</f>
        <v>341126199405284814</v>
      </c>
      <c r="D884" s="8" t="str">
        <f>"20200303427"</f>
        <v>20200303427</v>
      </c>
      <c r="E884" s="9">
        <v>65.8</v>
      </c>
      <c r="F884" s="9">
        <v>72</v>
      </c>
      <c r="G884" s="9">
        <f t="shared" si="13"/>
        <v>137.8</v>
      </c>
      <c r="H884" s="8"/>
    </row>
    <row r="885" spans="1:8" ht="22.5" customHeight="1">
      <c r="A885" s="8" t="s">
        <v>61</v>
      </c>
      <c r="B885" s="8" t="str">
        <f>"何艳"</f>
        <v>何艳</v>
      </c>
      <c r="C885" s="8" t="str">
        <f>"341182199505092028"</f>
        <v>341182199505092028</v>
      </c>
      <c r="D885" s="8" t="str">
        <f>"20200303104"</f>
        <v>20200303104</v>
      </c>
      <c r="E885" s="9">
        <v>70.2</v>
      </c>
      <c r="F885" s="9">
        <v>67.5</v>
      </c>
      <c r="G885" s="9">
        <f t="shared" si="13"/>
        <v>137.7</v>
      </c>
      <c r="H885" s="8"/>
    </row>
    <row r="886" spans="1:8" ht="22.5" customHeight="1">
      <c r="A886" s="8" t="s">
        <v>61</v>
      </c>
      <c r="B886" s="8" t="str">
        <f>"朱彬彬"</f>
        <v>朱彬彬</v>
      </c>
      <c r="C886" s="8" t="str">
        <f>"341182199303070613"</f>
        <v>341182199303070613</v>
      </c>
      <c r="D886" s="8" t="str">
        <f>"20200302924"</f>
        <v>20200302924</v>
      </c>
      <c r="E886" s="9">
        <v>66.1</v>
      </c>
      <c r="F886" s="9">
        <v>71.5</v>
      </c>
      <c r="G886" s="9">
        <f t="shared" si="13"/>
        <v>137.6</v>
      </c>
      <c r="H886" s="8"/>
    </row>
    <row r="887" spans="1:8" ht="22.5" customHeight="1">
      <c r="A887" s="8" t="s">
        <v>61</v>
      </c>
      <c r="B887" s="8" t="str">
        <f>"武培岩"</f>
        <v>武培岩</v>
      </c>
      <c r="C887" s="8" t="str">
        <f>"341182199306200639"</f>
        <v>341182199306200639</v>
      </c>
      <c r="D887" s="8" t="str">
        <f>"20200303213"</f>
        <v>20200303213</v>
      </c>
      <c r="E887" s="9">
        <v>65</v>
      </c>
      <c r="F887" s="9">
        <v>72.5</v>
      </c>
      <c r="G887" s="9">
        <f t="shared" si="13"/>
        <v>137.5</v>
      </c>
      <c r="H887" s="8"/>
    </row>
    <row r="888" spans="1:8" ht="22.5" customHeight="1">
      <c r="A888" s="8" t="s">
        <v>61</v>
      </c>
      <c r="B888" s="8" t="str">
        <f>"陶昕"</f>
        <v>陶昕</v>
      </c>
      <c r="C888" s="8" t="str">
        <f>"341182199101212417"</f>
        <v>341182199101212417</v>
      </c>
      <c r="D888" s="8" t="str">
        <f>"20200303002"</f>
        <v>20200303002</v>
      </c>
      <c r="E888" s="9">
        <v>65.7</v>
      </c>
      <c r="F888" s="9">
        <v>71.5</v>
      </c>
      <c r="G888" s="9">
        <f t="shared" si="13"/>
        <v>137.2</v>
      </c>
      <c r="H888" s="8"/>
    </row>
    <row r="889" spans="1:8" ht="22.5" customHeight="1">
      <c r="A889" s="8" t="s">
        <v>61</v>
      </c>
      <c r="B889" s="8" t="str">
        <f>"夏婷婷"</f>
        <v>夏婷婷</v>
      </c>
      <c r="C889" s="8" t="str">
        <f>"341126199301171540"</f>
        <v>341126199301171540</v>
      </c>
      <c r="D889" s="8" t="str">
        <f>"20200303508"</f>
        <v>20200303508</v>
      </c>
      <c r="E889" s="9">
        <v>61.2</v>
      </c>
      <c r="F889" s="9">
        <v>76</v>
      </c>
      <c r="G889" s="9">
        <f t="shared" si="13"/>
        <v>137.2</v>
      </c>
      <c r="H889" s="8"/>
    </row>
    <row r="890" spans="1:8" ht="22.5" customHeight="1">
      <c r="A890" s="8" t="s">
        <v>61</v>
      </c>
      <c r="B890" s="8" t="str">
        <f>"张丽"</f>
        <v>张丽</v>
      </c>
      <c r="C890" s="8" t="str">
        <f>"341182198705055024"</f>
        <v>341182198705055024</v>
      </c>
      <c r="D890" s="8" t="str">
        <f>"20200303316"</f>
        <v>20200303316</v>
      </c>
      <c r="E890" s="9">
        <v>64.1</v>
      </c>
      <c r="F890" s="9">
        <v>73</v>
      </c>
      <c r="G890" s="9">
        <f t="shared" si="13"/>
        <v>137.1</v>
      </c>
      <c r="H890" s="8"/>
    </row>
    <row r="891" spans="1:8" ht="22.5" customHeight="1">
      <c r="A891" s="8" t="s">
        <v>61</v>
      </c>
      <c r="B891" s="8" t="str">
        <f>"赵雪松"</f>
        <v>赵雪松</v>
      </c>
      <c r="C891" s="8" t="str">
        <f>"341182199307080624"</f>
        <v>341182199307080624</v>
      </c>
      <c r="D891" s="8" t="str">
        <f>"20200303024"</f>
        <v>20200303024</v>
      </c>
      <c r="E891" s="9">
        <v>62</v>
      </c>
      <c r="F891" s="9">
        <v>74.5</v>
      </c>
      <c r="G891" s="9">
        <f t="shared" si="13"/>
        <v>136.5</v>
      </c>
      <c r="H891" s="8"/>
    </row>
    <row r="892" spans="1:8" ht="22.5" customHeight="1">
      <c r="A892" s="8" t="s">
        <v>61</v>
      </c>
      <c r="B892" s="8" t="str">
        <f>"张典意"</f>
        <v>张典意</v>
      </c>
      <c r="C892" s="8" t="str">
        <f>"341182199408052040"</f>
        <v>341182199408052040</v>
      </c>
      <c r="D892" s="8" t="str">
        <f>"20200302927"</f>
        <v>20200302927</v>
      </c>
      <c r="E892" s="9">
        <v>59.9</v>
      </c>
      <c r="F892" s="9">
        <v>76.5</v>
      </c>
      <c r="G892" s="9">
        <f t="shared" si="13"/>
        <v>136.4</v>
      </c>
      <c r="H892" s="8"/>
    </row>
    <row r="893" spans="1:8" ht="22.5" customHeight="1">
      <c r="A893" s="8" t="s">
        <v>61</v>
      </c>
      <c r="B893" s="8" t="str">
        <f>"魏开连"</f>
        <v>魏开连</v>
      </c>
      <c r="C893" s="8" t="str">
        <f>"341182199406293211"</f>
        <v>341182199406293211</v>
      </c>
      <c r="D893" s="8" t="str">
        <f>"20200303010"</f>
        <v>20200303010</v>
      </c>
      <c r="E893" s="9">
        <v>65.7</v>
      </c>
      <c r="F893" s="9">
        <v>70.5</v>
      </c>
      <c r="G893" s="9">
        <f t="shared" si="13"/>
        <v>136.2</v>
      </c>
      <c r="H893" s="8"/>
    </row>
    <row r="894" spans="1:8" ht="22.5" customHeight="1">
      <c r="A894" s="8" t="s">
        <v>61</v>
      </c>
      <c r="B894" s="8" t="str">
        <f>"陈学平"</f>
        <v>陈学平</v>
      </c>
      <c r="C894" s="8" t="str">
        <f>"341182199510153825"</f>
        <v>341182199510153825</v>
      </c>
      <c r="D894" s="8" t="str">
        <f>"20200303101"</f>
        <v>20200303101</v>
      </c>
      <c r="E894" s="9">
        <v>66.2</v>
      </c>
      <c r="F894" s="9">
        <v>70</v>
      </c>
      <c r="G894" s="9">
        <f t="shared" si="13"/>
        <v>136.2</v>
      </c>
      <c r="H894" s="8"/>
    </row>
    <row r="895" spans="1:8" ht="22.5" customHeight="1">
      <c r="A895" s="8" t="s">
        <v>61</v>
      </c>
      <c r="B895" s="8" t="str">
        <f>"钱秋香"</f>
        <v>钱秋香</v>
      </c>
      <c r="C895" s="8" t="str">
        <f>"341182198702036223"</f>
        <v>341182198702036223</v>
      </c>
      <c r="D895" s="8" t="str">
        <f>"20200303027"</f>
        <v>20200303027</v>
      </c>
      <c r="E895" s="9">
        <v>66.6</v>
      </c>
      <c r="F895" s="9">
        <v>69.5</v>
      </c>
      <c r="G895" s="9">
        <f t="shared" si="13"/>
        <v>136.1</v>
      </c>
      <c r="H895" s="8"/>
    </row>
    <row r="896" spans="1:8" ht="22.5" customHeight="1">
      <c r="A896" s="8" t="s">
        <v>61</v>
      </c>
      <c r="B896" s="8" t="str">
        <f>"张付志"</f>
        <v>张付志</v>
      </c>
      <c r="C896" s="8" t="str">
        <f>"340322198907180038"</f>
        <v>340322198907180038</v>
      </c>
      <c r="D896" s="8" t="str">
        <f>"20200303327"</f>
        <v>20200303327</v>
      </c>
      <c r="E896" s="9">
        <v>67</v>
      </c>
      <c r="F896" s="9">
        <v>69</v>
      </c>
      <c r="G896" s="9">
        <f t="shared" si="13"/>
        <v>136</v>
      </c>
      <c r="H896" s="8"/>
    </row>
    <row r="897" spans="1:8" ht="22.5" customHeight="1">
      <c r="A897" s="8" t="s">
        <v>61</v>
      </c>
      <c r="B897" s="8" t="str">
        <f>"周英"</f>
        <v>周英</v>
      </c>
      <c r="C897" s="8" t="str">
        <f>"34118219940901162X"</f>
        <v>34118219940901162X</v>
      </c>
      <c r="D897" s="8" t="str">
        <f>"20200303227"</f>
        <v>20200303227</v>
      </c>
      <c r="E897" s="9">
        <v>64.3</v>
      </c>
      <c r="F897" s="9">
        <v>71.5</v>
      </c>
      <c r="G897" s="9">
        <f t="shared" si="13"/>
        <v>135.8</v>
      </c>
      <c r="H897" s="8"/>
    </row>
    <row r="898" spans="1:8" ht="22.5" customHeight="1">
      <c r="A898" s="8" t="s">
        <v>61</v>
      </c>
      <c r="B898" s="8" t="str">
        <f>"王鹤"</f>
        <v>王鹤</v>
      </c>
      <c r="C898" s="8" t="str">
        <f>"341182199307102432"</f>
        <v>341182199307102432</v>
      </c>
      <c r="D898" s="8" t="str">
        <f>"20200303208"</f>
        <v>20200303208</v>
      </c>
      <c r="E898" s="9">
        <v>64.6</v>
      </c>
      <c r="F898" s="9">
        <v>71</v>
      </c>
      <c r="G898" s="9">
        <f t="shared" si="13"/>
        <v>135.6</v>
      </c>
      <c r="H898" s="8"/>
    </row>
    <row r="899" spans="1:8" ht="22.5" customHeight="1">
      <c r="A899" s="8" t="s">
        <v>61</v>
      </c>
      <c r="B899" s="8" t="str">
        <f>"孙珍珍"</f>
        <v>孙珍珍</v>
      </c>
      <c r="C899" s="8" t="str">
        <f>"341182199501184849"</f>
        <v>341182199501184849</v>
      </c>
      <c r="D899" s="8" t="str">
        <f>"20200303310"</f>
        <v>20200303310</v>
      </c>
      <c r="E899" s="9">
        <v>62.6</v>
      </c>
      <c r="F899" s="9">
        <v>73</v>
      </c>
      <c r="G899" s="9">
        <f aca="true" t="shared" si="14" ref="G899:G962">E899+F899</f>
        <v>135.6</v>
      </c>
      <c r="H899" s="8"/>
    </row>
    <row r="900" spans="1:8" ht="22.5" customHeight="1">
      <c r="A900" s="8" t="s">
        <v>61</v>
      </c>
      <c r="B900" s="8" t="str">
        <f>"张亦驰"</f>
        <v>张亦驰</v>
      </c>
      <c r="C900" s="8" t="str">
        <f>"341102198805060259"</f>
        <v>341102198805060259</v>
      </c>
      <c r="D900" s="8" t="str">
        <f>"20200303111"</f>
        <v>20200303111</v>
      </c>
      <c r="E900" s="9">
        <v>68</v>
      </c>
      <c r="F900" s="9">
        <v>67.5</v>
      </c>
      <c r="G900" s="9">
        <f t="shared" si="14"/>
        <v>135.5</v>
      </c>
      <c r="H900" s="8"/>
    </row>
    <row r="901" spans="1:8" ht="22.5" customHeight="1">
      <c r="A901" s="8" t="s">
        <v>61</v>
      </c>
      <c r="B901" s="8" t="str">
        <f>"周大路"</f>
        <v>周大路</v>
      </c>
      <c r="C901" s="8" t="str">
        <f>"341182199003122610"</f>
        <v>341182199003122610</v>
      </c>
      <c r="D901" s="8" t="str">
        <f>"20200303108"</f>
        <v>20200303108</v>
      </c>
      <c r="E901" s="9">
        <v>66.4</v>
      </c>
      <c r="F901" s="9">
        <v>69</v>
      </c>
      <c r="G901" s="9">
        <f t="shared" si="14"/>
        <v>135.4</v>
      </c>
      <c r="H901" s="8"/>
    </row>
    <row r="902" spans="1:8" ht="22.5" customHeight="1">
      <c r="A902" s="8" t="s">
        <v>61</v>
      </c>
      <c r="B902" s="8" t="str">
        <f>"陆志远"</f>
        <v>陆志远</v>
      </c>
      <c r="C902" s="8" t="str">
        <f>"341182199203080013"</f>
        <v>341182199203080013</v>
      </c>
      <c r="D902" s="8" t="str">
        <f>"20200303018"</f>
        <v>20200303018</v>
      </c>
      <c r="E902" s="9">
        <v>66.3</v>
      </c>
      <c r="F902" s="9">
        <v>69</v>
      </c>
      <c r="G902" s="9">
        <f t="shared" si="14"/>
        <v>135.3</v>
      </c>
      <c r="H902" s="8"/>
    </row>
    <row r="903" spans="1:8" ht="22.5" customHeight="1">
      <c r="A903" s="8" t="s">
        <v>61</v>
      </c>
      <c r="B903" s="8" t="str">
        <f>"池昌莉"</f>
        <v>池昌莉</v>
      </c>
      <c r="C903" s="8" t="str">
        <f>"341182199508245624"</f>
        <v>341182199508245624</v>
      </c>
      <c r="D903" s="8" t="str">
        <f>"20200303106"</f>
        <v>20200303106</v>
      </c>
      <c r="E903" s="9">
        <v>64.4</v>
      </c>
      <c r="F903" s="9">
        <v>70.5</v>
      </c>
      <c r="G903" s="9">
        <f t="shared" si="14"/>
        <v>134.9</v>
      </c>
      <c r="H903" s="8"/>
    </row>
    <row r="904" spans="1:8" ht="22.5" customHeight="1">
      <c r="A904" s="8" t="s">
        <v>61</v>
      </c>
      <c r="B904" s="8" t="str">
        <f>"刘凯"</f>
        <v>刘凯</v>
      </c>
      <c r="C904" s="8" t="str">
        <f>"341102198803102419"</f>
        <v>341102198803102419</v>
      </c>
      <c r="D904" s="8" t="str">
        <f>"20200303204"</f>
        <v>20200303204</v>
      </c>
      <c r="E904" s="9">
        <v>63.1</v>
      </c>
      <c r="F904" s="9">
        <v>71.5</v>
      </c>
      <c r="G904" s="9">
        <f t="shared" si="14"/>
        <v>134.6</v>
      </c>
      <c r="H904" s="8"/>
    </row>
    <row r="905" spans="1:8" ht="22.5" customHeight="1">
      <c r="A905" s="8" t="s">
        <v>61</v>
      </c>
      <c r="B905" s="8" t="str">
        <f>"刘茜"</f>
        <v>刘茜</v>
      </c>
      <c r="C905" s="8" t="str">
        <f>"341182199608261445"</f>
        <v>341182199608261445</v>
      </c>
      <c r="D905" s="8" t="str">
        <f>"20200303214"</f>
        <v>20200303214</v>
      </c>
      <c r="E905" s="9">
        <v>62.1</v>
      </c>
      <c r="F905" s="9">
        <v>72.5</v>
      </c>
      <c r="G905" s="9">
        <f t="shared" si="14"/>
        <v>134.6</v>
      </c>
      <c r="H905" s="8"/>
    </row>
    <row r="906" spans="1:8" ht="22.5" customHeight="1">
      <c r="A906" s="8" t="s">
        <v>61</v>
      </c>
      <c r="B906" s="8" t="str">
        <f>"何家周"</f>
        <v>何家周</v>
      </c>
      <c r="C906" s="8" t="str">
        <f>"341182199601032412"</f>
        <v>341182199601032412</v>
      </c>
      <c r="D906" s="8" t="str">
        <f>"20200303512"</f>
        <v>20200303512</v>
      </c>
      <c r="E906" s="9">
        <v>59.4</v>
      </c>
      <c r="F906" s="9">
        <v>75</v>
      </c>
      <c r="G906" s="9">
        <f t="shared" si="14"/>
        <v>134.4</v>
      </c>
      <c r="H906" s="8"/>
    </row>
    <row r="907" spans="1:8" ht="22.5" customHeight="1">
      <c r="A907" s="8" t="s">
        <v>61</v>
      </c>
      <c r="B907" s="8" t="str">
        <f>"刘广源"</f>
        <v>刘广源</v>
      </c>
      <c r="C907" s="8" t="str">
        <f>"341182198912021812"</f>
        <v>341182198912021812</v>
      </c>
      <c r="D907" s="8" t="str">
        <f>"20200303321"</f>
        <v>20200303321</v>
      </c>
      <c r="E907" s="9">
        <v>63.8</v>
      </c>
      <c r="F907" s="9">
        <v>70.5</v>
      </c>
      <c r="G907" s="9">
        <f t="shared" si="14"/>
        <v>134.3</v>
      </c>
      <c r="H907" s="8"/>
    </row>
    <row r="908" spans="1:8" ht="22.5" customHeight="1">
      <c r="A908" s="8" t="s">
        <v>61</v>
      </c>
      <c r="B908" s="8" t="str">
        <f>"王灿"</f>
        <v>王灿</v>
      </c>
      <c r="C908" s="8" t="str">
        <f>"341182199205292810"</f>
        <v>341182199205292810</v>
      </c>
      <c r="D908" s="8" t="str">
        <f>"20200303403"</f>
        <v>20200303403</v>
      </c>
      <c r="E908" s="9">
        <v>63.8</v>
      </c>
      <c r="F908" s="9">
        <v>70</v>
      </c>
      <c r="G908" s="9">
        <f t="shared" si="14"/>
        <v>133.8</v>
      </c>
      <c r="H908" s="8"/>
    </row>
    <row r="909" spans="1:8" ht="22.5" customHeight="1">
      <c r="A909" s="8" t="s">
        <v>61</v>
      </c>
      <c r="B909" s="8" t="str">
        <f>"张钰"</f>
        <v>张钰</v>
      </c>
      <c r="C909" s="8" t="str">
        <f>"341182199410070248"</f>
        <v>341182199410070248</v>
      </c>
      <c r="D909" s="8" t="str">
        <f>"20200303313"</f>
        <v>20200303313</v>
      </c>
      <c r="E909" s="9">
        <v>62.7</v>
      </c>
      <c r="F909" s="9">
        <v>71</v>
      </c>
      <c r="G909" s="9">
        <f t="shared" si="14"/>
        <v>133.7</v>
      </c>
      <c r="H909" s="8"/>
    </row>
    <row r="910" spans="1:8" ht="22.5" customHeight="1">
      <c r="A910" s="8" t="s">
        <v>61</v>
      </c>
      <c r="B910" s="8" t="str">
        <f>"葛叶虎"</f>
        <v>葛叶虎</v>
      </c>
      <c r="C910" s="8" t="str">
        <f>"340123199308195799"</f>
        <v>340123199308195799</v>
      </c>
      <c r="D910" s="8" t="str">
        <f>"20200303230"</f>
        <v>20200303230</v>
      </c>
      <c r="E910" s="9">
        <v>62.5</v>
      </c>
      <c r="F910" s="9">
        <v>71</v>
      </c>
      <c r="G910" s="9">
        <f t="shared" si="14"/>
        <v>133.5</v>
      </c>
      <c r="H910" s="8"/>
    </row>
    <row r="911" spans="1:8" ht="22.5" customHeight="1">
      <c r="A911" s="8" t="s">
        <v>61</v>
      </c>
      <c r="B911" s="8" t="str">
        <f>"施天慈"</f>
        <v>施天慈</v>
      </c>
      <c r="C911" s="8" t="str">
        <f>"341102199507270025"</f>
        <v>341102199507270025</v>
      </c>
      <c r="D911" s="8" t="str">
        <f>"20200303317"</f>
        <v>20200303317</v>
      </c>
      <c r="E911" s="9">
        <v>62.5</v>
      </c>
      <c r="F911" s="9">
        <v>71</v>
      </c>
      <c r="G911" s="9">
        <f t="shared" si="14"/>
        <v>133.5</v>
      </c>
      <c r="H911" s="8"/>
    </row>
    <row r="912" spans="1:8" ht="22.5" customHeight="1">
      <c r="A912" s="8" t="s">
        <v>61</v>
      </c>
      <c r="B912" s="8" t="str">
        <f>"干华睿"</f>
        <v>干华睿</v>
      </c>
      <c r="C912" s="8" t="str">
        <f>"34118119950811621X"</f>
        <v>34118119950811621X</v>
      </c>
      <c r="D912" s="8" t="str">
        <f>"20200303113"</f>
        <v>20200303113</v>
      </c>
      <c r="E912" s="9">
        <v>65.9</v>
      </c>
      <c r="F912" s="9">
        <v>67.5</v>
      </c>
      <c r="G912" s="9">
        <f t="shared" si="14"/>
        <v>133.4</v>
      </c>
      <c r="H912" s="8"/>
    </row>
    <row r="913" spans="1:8" ht="22.5" customHeight="1">
      <c r="A913" s="8" t="s">
        <v>61</v>
      </c>
      <c r="B913" s="8" t="str">
        <f>"杨青青"</f>
        <v>杨青青</v>
      </c>
      <c r="C913" s="8" t="str">
        <f>"341103199308161826"</f>
        <v>341103199308161826</v>
      </c>
      <c r="D913" s="8" t="str">
        <f>"20200303216"</f>
        <v>20200303216</v>
      </c>
      <c r="E913" s="9">
        <v>60.4</v>
      </c>
      <c r="F913" s="9">
        <v>73</v>
      </c>
      <c r="G913" s="9">
        <f t="shared" si="14"/>
        <v>133.4</v>
      </c>
      <c r="H913" s="8"/>
    </row>
    <row r="914" spans="1:8" ht="22.5" customHeight="1">
      <c r="A914" s="8" t="s">
        <v>61</v>
      </c>
      <c r="B914" s="8" t="str">
        <f>"陈雅杰"</f>
        <v>陈雅杰</v>
      </c>
      <c r="C914" s="8" t="str">
        <f>"341126199512220226"</f>
        <v>341126199512220226</v>
      </c>
      <c r="D914" s="8" t="str">
        <f>"20200303325"</f>
        <v>20200303325</v>
      </c>
      <c r="E914" s="9">
        <v>64.7</v>
      </c>
      <c r="F914" s="9">
        <v>68.5</v>
      </c>
      <c r="G914" s="9">
        <f t="shared" si="14"/>
        <v>133.2</v>
      </c>
      <c r="H914" s="8"/>
    </row>
    <row r="915" spans="1:8" ht="22.5" customHeight="1">
      <c r="A915" s="8" t="s">
        <v>61</v>
      </c>
      <c r="B915" s="8" t="str">
        <f>"陈尧"</f>
        <v>陈尧</v>
      </c>
      <c r="C915" s="8" t="str">
        <f>"341182198908122231"</f>
        <v>341182198908122231</v>
      </c>
      <c r="D915" s="8" t="str">
        <f>"20200303003"</f>
        <v>20200303003</v>
      </c>
      <c r="E915" s="9">
        <v>63.1</v>
      </c>
      <c r="F915" s="9">
        <v>70</v>
      </c>
      <c r="G915" s="9">
        <f t="shared" si="14"/>
        <v>133.1</v>
      </c>
      <c r="H915" s="8"/>
    </row>
    <row r="916" spans="1:8" ht="22.5" customHeight="1">
      <c r="A916" s="8" t="s">
        <v>61</v>
      </c>
      <c r="B916" s="8" t="str">
        <f>"王柳"</f>
        <v>王柳</v>
      </c>
      <c r="C916" s="8" t="str">
        <f>"341182199306125640"</f>
        <v>341182199306125640</v>
      </c>
      <c r="D916" s="8" t="str">
        <f>"20200303210"</f>
        <v>20200303210</v>
      </c>
      <c r="E916" s="9">
        <v>67.1</v>
      </c>
      <c r="F916" s="9">
        <v>66</v>
      </c>
      <c r="G916" s="9">
        <f t="shared" si="14"/>
        <v>133.1</v>
      </c>
      <c r="H916" s="8"/>
    </row>
    <row r="917" spans="1:8" ht="22.5" customHeight="1">
      <c r="A917" s="8" t="s">
        <v>61</v>
      </c>
      <c r="B917" s="8" t="str">
        <f>"范婷婷"</f>
        <v>范婷婷</v>
      </c>
      <c r="C917" s="8" t="str">
        <f>"341182199404200421"</f>
        <v>341182199404200421</v>
      </c>
      <c r="D917" s="8" t="str">
        <f>"20200303414"</f>
        <v>20200303414</v>
      </c>
      <c r="E917" s="9">
        <v>62.6</v>
      </c>
      <c r="F917" s="9">
        <v>70.5</v>
      </c>
      <c r="G917" s="9">
        <f t="shared" si="14"/>
        <v>133.1</v>
      </c>
      <c r="H917" s="8"/>
    </row>
    <row r="918" spans="1:8" ht="22.5" customHeight="1">
      <c r="A918" s="8" t="s">
        <v>61</v>
      </c>
      <c r="B918" s="8" t="str">
        <f>"陈龙梅"</f>
        <v>陈龙梅</v>
      </c>
      <c r="C918" s="8" t="str">
        <f>"341181198808043046"</f>
        <v>341181198808043046</v>
      </c>
      <c r="D918" s="8" t="str">
        <f>"20200303224"</f>
        <v>20200303224</v>
      </c>
      <c r="E918" s="9">
        <v>59.9</v>
      </c>
      <c r="F918" s="9">
        <v>73</v>
      </c>
      <c r="G918" s="9">
        <f t="shared" si="14"/>
        <v>132.9</v>
      </c>
      <c r="H918" s="8"/>
    </row>
    <row r="919" spans="1:8" ht="22.5" customHeight="1">
      <c r="A919" s="8" t="s">
        <v>61</v>
      </c>
      <c r="B919" s="8" t="str">
        <f>"冯亚南"</f>
        <v>冯亚南</v>
      </c>
      <c r="C919" s="8" t="str">
        <f>"341126199404026936"</f>
        <v>341126199404026936</v>
      </c>
      <c r="D919" s="8" t="str">
        <f>"20200303528"</f>
        <v>20200303528</v>
      </c>
      <c r="E919" s="9">
        <v>61.6</v>
      </c>
      <c r="F919" s="9">
        <v>71</v>
      </c>
      <c r="G919" s="9">
        <f t="shared" si="14"/>
        <v>132.6</v>
      </c>
      <c r="H919" s="8"/>
    </row>
    <row r="920" spans="1:8" ht="22.5" customHeight="1">
      <c r="A920" s="8" t="s">
        <v>61</v>
      </c>
      <c r="B920" s="8" t="str">
        <f>"高宁"</f>
        <v>高宁</v>
      </c>
      <c r="C920" s="8" t="str">
        <f>"210122198906040615"</f>
        <v>210122198906040615</v>
      </c>
      <c r="D920" s="8" t="str">
        <f>"20200303107"</f>
        <v>20200303107</v>
      </c>
      <c r="E920" s="9">
        <v>62.4</v>
      </c>
      <c r="F920" s="9">
        <v>70</v>
      </c>
      <c r="G920" s="9">
        <f t="shared" si="14"/>
        <v>132.4</v>
      </c>
      <c r="H920" s="8"/>
    </row>
    <row r="921" spans="1:8" ht="22.5" customHeight="1">
      <c r="A921" s="8" t="s">
        <v>61</v>
      </c>
      <c r="B921" s="8" t="str">
        <f>"宋时慧"</f>
        <v>宋时慧</v>
      </c>
      <c r="C921" s="8" t="str">
        <f>"341182199210253621"</f>
        <v>341182199210253621</v>
      </c>
      <c r="D921" s="8" t="str">
        <f>"20200303222"</f>
        <v>20200303222</v>
      </c>
      <c r="E921" s="9">
        <v>60.5</v>
      </c>
      <c r="F921" s="9">
        <v>71.5</v>
      </c>
      <c r="G921" s="9">
        <f t="shared" si="14"/>
        <v>132</v>
      </c>
      <c r="H921" s="8"/>
    </row>
    <row r="922" spans="1:8" ht="22.5" customHeight="1">
      <c r="A922" s="8" t="s">
        <v>61</v>
      </c>
      <c r="B922" s="8" t="str">
        <f>"王磊"</f>
        <v>王磊</v>
      </c>
      <c r="C922" s="8" t="str">
        <f>"341182199308253419"</f>
        <v>341182199308253419</v>
      </c>
      <c r="D922" s="8" t="str">
        <f>"20200303429"</f>
        <v>20200303429</v>
      </c>
      <c r="E922" s="9">
        <v>59.8</v>
      </c>
      <c r="F922" s="9">
        <v>72</v>
      </c>
      <c r="G922" s="9">
        <f t="shared" si="14"/>
        <v>131.8</v>
      </c>
      <c r="H922" s="8"/>
    </row>
    <row r="923" spans="1:8" ht="22.5" customHeight="1">
      <c r="A923" s="8" t="s">
        <v>61</v>
      </c>
      <c r="B923" s="8" t="str">
        <f>"刘健"</f>
        <v>刘健</v>
      </c>
      <c r="C923" s="8" t="str">
        <f>"341126199401144910"</f>
        <v>341126199401144910</v>
      </c>
      <c r="D923" s="8" t="str">
        <f>"20200303117"</f>
        <v>20200303117</v>
      </c>
      <c r="E923" s="9">
        <v>62.1</v>
      </c>
      <c r="F923" s="9">
        <v>69.5</v>
      </c>
      <c r="G923" s="9">
        <f t="shared" si="14"/>
        <v>131.6</v>
      </c>
      <c r="H923" s="8"/>
    </row>
    <row r="924" spans="1:8" ht="22.5" customHeight="1">
      <c r="A924" s="8" t="s">
        <v>61</v>
      </c>
      <c r="B924" s="8" t="str">
        <f>"朱许静"</f>
        <v>朱许静</v>
      </c>
      <c r="C924" s="8" t="str">
        <f>"341182199607206225"</f>
        <v>341182199607206225</v>
      </c>
      <c r="D924" s="8" t="str">
        <f>"20200303001"</f>
        <v>20200303001</v>
      </c>
      <c r="E924" s="9">
        <v>62.4</v>
      </c>
      <c r="F924" s="9">
        <v>68.5</v>
      </c>
      <c r="G924" s="9">
        <f t="shared" si="14"/>
        <v>130.9</v>
      </c>
      <c r="H924" s="8"/>
    </row>
    <row r="925" spans="1:8" ht="22.5" customHeight="1">
      <c r="A925" s="8" t="s">
        <v>61</v>
      </c>
      <c r="B925" s="8" t="str">
        <f>"蒋德"</f>
        <v>蒋德</v>
      </c>
      <c r="C925" s="8" t="str">
        <f>"341182199207073013"</f>
        <v>341182199207073013</v>
      </c>
      <c r="D925" s="8" t="str">
        <f>"20200303119"</f>
        <v>20200303119</v>
      </c>
      <c r="E925" s="9">
        <v>55.6</v>
      </c>
      <c r="F925" s="9">
        <v>75</v>
      </c>
      <c r="G925" s="9">
        <f t="shared" si="14"/>
        <v>130.6</v>
      </c>
      <c r="H925" s="8"/>
    </row>
    <row r="926" spans="1:8" ht="22.5" customHeight="1">
      <c r="A926" s="8" t="s">
        <v>61</v>
      </c>
      <c r="B926" s="8" t="str">
        <f>"何伟"</f>
        <v>何伟</v>
      </c>
      <c r="C926" s="8" t="str">
        <f>"341127198903280033"</f>
        <v>341127198903280033</v>
      </c>
      <c r="D926" s="8" t="str">
        <f>"20200303410"</f>
        <v>20200303410</v>
      </c>
      <c r="E926" s="9">
        <v>62.1</v>
      </c>
      <c r="F926" s="9">
        <v>68.5</v>
      </c>
      <c r="G926" s="9">
        <f t="shared" si="14"/>
        <v>130.6</v>
      </c>
      <c r="H926" s="8"/>
    </row>
    <row r="927" spans="1:8" ht="22.5" customHeight="1">
      <c r="A927" s="8" t="s">
        <v>61</v>
      </c>
      <c r="B927" s="8" t="str">
        <f>"陈宇"</f>
        <v>陈宇</v>
      </c>
      <c r="C927" s="8" t="str">
        <f>"341182199410240219"</f>
        <v>341182199410240219</v>
      </c>
      <c r="D927" s="8" t="str">
        <f>"20200303519"</f>
        <v>20200303519</v>
      </c>
      <c r="E927" s="9">
        <v>59.6</v>
      </c>
      <c r="F927" s="9">
        <v>71</v>
      </c>
      <c r="G927" s="9">
        <f t="shared" si="14"/>
        <v>130.6</v>
      </c>
      <c r="H927" s="8"/>
    </row>
    <row r="928" spans="1:8" ht="22.5" customHeight="1">
      <c r="A928" s="8" t="s">
        <v>61</v>
      </c>
      <c r="B928" s="8" t="str">
        <f>"方添"</f>
        <v>方添</v>
      </c>
      <c r="C928" s="8" t="str">
        <f>"341181199410050259"</f>
        <v>341181199410050259</v>
      </c>
      <c r="D928" s="8" t="str">
        <f>"20200303516"</f>
        <v>20200303516</v>
      </c>
      <c r="E928" s="9">
        <v>60.5</v>
      </c>
      <c r="F928" s="9">
        <v>70</v>
      </c>
      <c r="G928" s="9">
        <f t="shared" si="14"/>
        <v>130.5</v>
      </c>
      <c r="H928" s="8"/>
    </row>
    <row r="929" spans="1:8" ht="22.5" customHeight="1">
      <c r="A929" s="8" t="s">
        <v>61</v>
      </c>
      <c r="B929" s="8" t="str">
        <f>"张健宇"</f>
        <v>张健宇</v>
      </c>
      <c r="C929" s="8" t="str">
        <f>"341182199410101630"</f>
        <v>341182199410101630</v>
      </c>
      <c r="D929" s="8" t="str">
        <f>"20200303116"</f>
        <v>20200303116</v>
      </c>
      <c r="E929" s="9">
        <v>57.3</v>
      </c>
      <c r="F929" s="9">
        <v>73</v>
      </c>
      <c r="G929" s="9">
        <f t="shared" si="14"/>
        <v>130.3</v>
      </c>
      <c r="H929" s="8"/>
    </row>
    <row r="930" spans="1:8" ht="22.5" customHeight="1">
      <c r="A930" s="8" t="s">
        <v>61</v>
      </c>
      <c r="B930" s="8" t="str">
        <f>"徐国虎"</f>
        <v>徐国虎</v>
      </c>
      <c r="C930" s="8" t="str">
        <f>"341127199001102013"</f>
        <v>341127199001102013</v>
      </c>
      <c r="D930" s="8" t="str">
        <f>"20200303211"</f>
        <v>20200303211</v>
      </c>
      <c r="E930" s="9">
        <v>61.3</v>
      </c>
      <c r="F930" s="9">
        <v>69</v>
      </c>
      <c r="G930" s="9">
        <f t="shared" si="14"/>
        <v>130.3</v>
      </c>
      <c r="H930" s="8"/>
    </row>
    <row r="931" spans="1:8" ht="22.5" customHeight="1">
      <c r="A931" s="8" t="s">
        <v>61</v>
      </c>
      <c r="B931" s="8" t="str">
        <f>"毛瑞"</f>
        <v>毛瑞</v>
      </c>
      <c r="C931" s="8" t="str">
        <f>"341126199410240023"</f>
        <v>341126199410240023</v>
      </c>
      <c r="D931" s="8" t="str">
        <f>"20200303228"</f>
        <v>20200303228</v>
      </c>
      <c r="E931" s="9">
        <v>57.3</v>
      </c>
      <c r="F931" s="9">
        <v>73</v>
      </c>
      <c r="G931" s="9">
        <f t="shared" si="14"/>
        <v>130.3</v>
      </c>
      <c r="H931" s="8"/>
    </row>
    <row r="932" spans="1:8" ht="22.5" customHeight="1">
      <c r="A932" s="8" t="s">
        <v>61</v>
      </c>
      <c r="B932" s="8" t="str">
        <f>"李静 "</f>
        <v>李静 </v>
      </c>
      <c r="C932" s="8" t="str">
        <f>"340621199110068780"</f>
        <v>340621199110068780</v>
      </c>
      <c r="D932" s="8" t="str">
        <f>"20200303023"</f>
        <v>20200303023</v>
      </c>
      <c r="E932" s="9">
        <v>62</v>
      </c>
      <c r="F932" s="9">
        <v>68</v>
      </c>
      <c r="G932" s="9">
        <f t="shared" si="14"/>
        <v>130</v>
      </c>
      <c r="H932" s="8"/>
    </row>
    <row r="933" spans="1:8" ht="22.5" customHeight="1">
      <c r="A933" s="8" t="s">
        <v>61</v>
      </c>
      <c r="B933" s="8" t="str">
        <f>"刘君颖"</f>
        <v>刘君颖</v>
      </c>
      <c r="C933" s="8" t="str">
        <f>"341182199305041648"</f>
        <v>341182199305041648</v>
      </c>
      <c r="D933" s="8" t="str">
        <f>"20200303006"</f>
        <v>20200303006</v>
      </c>
      <c r="E933" s="9">
        <v>59.2</v>
      </c>
      <c r="F933" s="9">
        <v>70.5</v>
      </c>
      <c r="G933" s="9">
        <f t="shared" si="14"/>
        <v>129.7</v>
      </c>
      <c r="H933" s="8"/>
    </row>
    <row r="934" spans="1:8" ht="22.5" customHeight="1">
      <c r="A934" s="8" t="s">
        <v>61</v>
      </c>
      <c r="B934" s="8" t="str">
        <f>"曹嘉翔"</f>
        <v>曹嘉翔</v>
      </c>
      <c r="C934" s="8" t="str">
        <f>"341182199408010414"</f>
        <v>341182199408010414</v>
      </c>
      <c r="D934" s="8" t="str">
        <f>"20200303102"</f>
        <v>20200303102</v>
      </c>
      <c r="E934" s="9">
        <v>60.6</v>
      </c>
      <c r="F934" s="9">
        <v>69</v>
      </c>
      <c r="G934" s="9">
        <f t="shared" si="14"/>
        <v>129.6</v>
      </c>
      <c r="H934" s="8"/>
    </row>
    <row r="935" spans="1:8" ht="22.5" customHeight="1">
      <c r="A935" s="8" t="s">
        <v>61</v>
      </c>
      <c r="B935" s="8" t="str">
        <f>"冯红旭"</f>
        <v>冯红旭</v>
      </c>
      <c r="C935" s="8" t="str">
        <f>"341182199110231812"</f>
        <v>341182199110231812</v>
      </c>
      <c r="D935" s="8" t="str">
        <f>"20200302928"</f>
        <v>20200302928</v>
      </c>
      <c r="E935" s="9">
        <v>54.5</v>
      </c>
      <c r="F935" s="9">
        <v>75</v>
      </c>
      <c r="G935" s="9">
        <f t="shared" si="14"/>
        <v>129.5</v>
      </c>
      <c r="H935" s="8"/>
    </row>
    <row r="936" spans="1:8" ht="22.5" customHeight="1">
      <c r="A936" s="8" t="s">
        <v>61</v>
      </c>
      <c r="B936" s="8" t="str">
        <f>"陈鼎"</f>
        <v>陈鼎</v>
      </c>
      <c r="C936" s="8" t="str">
        <f>"341126199510050016"</f>
        <v>341126199510050016</v>
      </c>
      <c r="D936" s="8" t="str">
        <f>"20200303122"</f>
        <v>20200303122</v>
      </c>
      <c r="E936" s="9">
        <v>56.9</v>
      </c>
      <c r="F936" s="9">
        <v>72.5</v>
      </c>
      <c r="G936" s="9">
        <f t="shared" si="14"/>
        <v>129.4</v>
      </c>
      <c r="H936" s="8"/>
    </row>
    <row r="937" spans="1:8" ht="22.5" customHeight="1">
      <c r="A937" s="8" t="s">
        <v>61</v>
      </c>
      <c r="B937" s="8" t="str">
        <f>"王冠"</f>
        <v>王冠</v>
      </c>
      <c r="C937" s="8" t="str">
        <f>"341103198809163235"</f>
        <v>341103198809163235</v>
      </c>
      <c r="D937" s="8" t="str">
        <f>"20200303123"</f>
        <v>20200303123</v>
      </c>
      <c r="E937" s="9">
        <v>58.9</v>
      </c>
      <c r="F937" s="9">
        <v>70.5</v>
      </c>
      <c r="G937" s="9">
        <f t="shared" si="14"/>
        <v>129.4</v>
      </c>
      <c r="H937" s="8"/>
    </row>
    <row r="938" spans="1:8" ht="22.5" customHeight="1">
      <c r="A938" s="8" t="s">
        <v>61</v>
      </c>
      <c r="B938" s="8" t="str">
        <f>"官文芮"</f>
        <v>官文芮</v>
      </c>
      <c r="C938" s="8" t="str">
        <f>"34032319921208004X"</f>
        <v>34032319921208004X</v>
      </c>
      <c r="D938" s="8" t="str">
        <f>"20200303206"</f>
        <v>20200303206</v>
      </c>
      <c r="E938" s="9">
        <v>55.8</v>
      </c>
      <c r="F938" s="9">
        <v>73</v>
      </c>
      <c r="G938" s="9">
        <f t="shared" si="14"/>
        <v>128.8</v>
      </c>
      <c r="H938" s="8"/>
    </row>
    <row r="939" spans="1:8" ht="22.5" customHeight="1">
      <c r="A939" s="8" t="s">
        <v>61</v>
      </c>
      <c r="B939" s="8" t="str">
        <f>"陶琨"</f>
        <v>陶琨</v>
      </c>
      <c r="C939" s="8" t="str">
        <f>"341124199109123618"</f>
        <v>341124199109123618</v>
      </c>
      <c r="D939" s="8" t="str">
        <f>"20200303029"</f>
        <v>20200303029</v>
      </c>
      <c r="E939" s="9">
        <v>56.6</v>
      </c>
      <c r="F939" s="9">
        <v>72</v>
      </c>
      <c r="G939" s="9">
        <f t="shared" si="14"/>
        <v>128.6</v>
      </c>
      <c r="H939" s="8"/>
    </row>
    <row r="940" spans="1:8" ht="22.5" customHeight="1">
      <c r="A940" s="8" t="s">
        <v>61</v>
      </c>
      <c r="B940" s="8" t="str">
        <f>"王石磊"</f>
        <v>王石磊</v>
      </c>
      <c r="C940" s="8" t="str">
        <f>"321283199607212017"</f>
        <v>321283199607212017</v>
      </c>
      <c r="D940" s="8" t="str">
        <f>"20200303524"</f>
        <v>20200303524</v>
      </c>
      <c r="E940" s="9">
        <v>60.1</v>
      </c>
      <c r="F940" s="9">
        <v>68.5</v>
      </c>
      <c r="G940" s="9">
        <f t="shared" si="14"/>
        <v>128.6</v>
      </c>
      <c r="H940" s="8"/>
    </row>
    <row r="941" spans="1:8" ht="22.5" customHeight="1">
      <c r="A941" s="8" t="s">
        <v>61</v>
      </c>
      <c r="B941" s="8" t="str">
        <f>"向依凡"</f>
        <v>向依凡</v>
      </c>
      <c r="C941" s="8" t="str">
        <f>"341126199307087024"</f>
        <v>341126199307087024</v>
      </c>
      <c r="D941" s="8" t="str">
        <f>"20200303401"</f>
        <v>20200303401</v>
      </c>
      <c r="E941" s="9">
        <v>60</v>
      </c>
      <c r="F941" s="9">
        <v>68.5</v>
      </c>
      <c r="G941" s="9">
        <f t="shared" si="14"/>
        <v>128.5</v>
      </c>
      <c r="H941" s="8"/>
    </row>
    <row r="942" spans="1:8" ht="22.5" customHeight="1">
      <c r="A942" s="8" t="s">
        <v>61</v>
      </c>
      <c r="B942" s="8" t="str">
        <f>"陈亮"</f>
        <v>陈亮</v>
      </c>
      <c r="C942" s="8" t="str">
        <f>"341182199505011013"</f>
        <v>341182199505011013</v>
      </c>
      <c r="D942" s="8" t="str">
        <f>"20200303529"</f>
        <v>20200303529</v>
      </c>
      <c r="E942" s="9">
        <v>55</v>
      </c>
      <c r="F942" s="9">
        <v>73.5</v>
      </c>
      <c r="G942" s="9">
        <f t="shared" si="14"/>
        <v>128.5</v>
      </c>
      <c r="H942" s="8"/>
    </row>
    <row r="943" spans="1:8" ht="22.5" customHeight="1">
      <c r="A943" s="8" t="s">
        <v>61</v>
      </c>
      <c r="B943" s="8" t="str">
        <f>"汪露"</f>
        <v>汪露</v>
      </c>
      <c r="C943" s="8" t="str">
        <f>"341182199510152646"</f>
        <v>341182199510152646</v>
      </c>
      <c r="D943" s="8" t="str">
        <f>"20200303517"</f>
        <v>20200303517</v>
      </c>
      <c r="E943" s="9">
        <v>60</v>
      </c>
      <c r="F943" s="9">
        <v>68</v>
      </c>
      <c r="G943" s="9">
        <f t="shared" si="14"/>
        <v>128</v>
      </c>
      <c r="H943" s="8"/>
    </row>
    <row r="944" spans="1:8" ht="22.5" customHeight="1">
      <c r="A944" s="8" t="s">
        <v>61</v>
      </c>
      <c r="B944" s="8" t="str">
        <f>"林鑫"</f>
        <v>林鑫</v>
      </c>
      <c r="C944" s="8" t="str">
        <f>"341182199702152034"</f>
        <v>341182199702152034</v>
      </c>
      <c r="D944" s="8" t="str">
        <f>"20200303014"</f>
        <v>20200303014</v>
      </c>
      <c r="E944" s="9">
        <v>60.4</v>
      </c>
      <c r="F944" s="9">
        <v>67.5</v>
      </c>
      <c r="G944" s="9">
        <f t="shared" si="14"/>
        <v>127.9</v>
      </c>
      <c r="H944" s="8"/>
    </row>
    <row r="945" spans="1:8" ht="22.5" customHeight="1">
      <c r="A945" s="8" t="s">
        <v>61</v>
      </c>
      <c r="B945" s="8" t="str">
        <f>"邱良铸"</f>
        <v>邱良铸</v>
      </c>
      <c r="C945" s="8" t="str">
        <f>"341127198712082018"</f>
        <v>341127198712082018</v>
      </c>
      <c r="D945" s="8" t="str">
        <f>"20200303523"</f>
        <v>20200303523</v>
      </c>
      <c r="E945" s="9">
        <v>60.9</v>
      </c>
      <c r="F945" s="9">
        <v>67</v>
      </c>
      <c r="G945" s="9">
        <f t="shared" si="14"/>
        <v>127.9</v>
      </c>
      <c r="H945" s="8"/>
    </row>
    <row r="946" spans="1:8" ht="22.5" customHeight="1">
      <c r="A946" s="8" t="s">
        <v>61</v>
      </c>
      <c r="B946" s="8" t="str">
        <f>"赵培培"</f>
        <v>赵培培</v>
      </c>
      <c r="C946" s="8" t="str">
        <f>"341182199403040622"</f>
        <v>341182199403040622</v>
      </c>
      <c r="D946" s="8" t="str">
        <f>"20200303302"</f>
        <v>20200303302</v>
      </c>
      <c r="E946" s="9">
        <v>53.8</v>
      </c>
      <c r="F946" s="9">
        <v>74</v>
      </c>
      <c r="G946" s="9">
        <f t="shared" si="14"/>
        <v>127.8</v>
      </c>
      <c r="H946" s="8"/>
    </row>
    <row r="947" spans="1:8" ht="22.5" customHeight="1">
      <c r="A947" s="8" t="s">
        <v>61</v>
      </c>
      <c r="B947" s="8" t="str">
        <f>"许加林"</f>
        <v>许加林</v>
      </c>
      <c r="C947" s="8" t="str">
        <f>"34112219900520201X"</f>
        <v>34112219900520201X</v>
      </c>
      <c r="D947" s="8" t="str">
        <f>"20200303007"</f>
        <v>20200303007</v>
      </c>
      <c r="E947" s="9">
        <v>54</v>
      </c>
      <c r="F947" s="9">
        <v>73.5</v>
      </c>
      <c r="G947" s="9">
        <f t="shared" si="14"/>
        <v>127.5</v>
      </c>
      <c r="H947" s="8"/>
    </row>
    <row r="948" spans="1:8" ht="22.5" customHeight="1">
      <c r="A948" s="8" t="s">
        <v>61</v>
      </c>
      <c r="B948" s="8" t="str">
        <f>"刘瑞新"</f>
        <v>刘瑞新</v>
      </c>
      <c r="C948" s="8" t="str">
        <f>"34032219940610121X"</f>
        <v>34032219940610121X</v>
      </c>
      <c r="D948" s="8" t="str">
        <f>"20200303409"</f>
        <v>20200303409</v>
      </c>
      <c r="E948" s="9">
        <v>58.8</v>
      </c>
      <c r="F948" s="9">
        <v>68.5</v>
      </c>
      <c r="G948" s="9">
        <f t="shared" si="14"/>
        <v>127.3</v>
      </c>
      <c r="H948" s="8"/>
    </row>
    <row r="949" spans="1:8" ht="22.5" customHeight="1">
      <c r="A949" s="8" t="s">
        <v>61</v>
      </c>
      <c r="B949" s="8" t="str">
        <f>"何倩"</f>
        <v>何倩</v>
      </c>
      <c r="C949" s="8" t="str">
        <f>"341182199012152029"</f>
        <v>341182199012152029</v>
      </c>
      <c r="D949" s="8" t="str">
        <f>"20200303422"</f>
        <v>20200303422</v>
      </c>
      <c r="E949" s="9">
        <v>55.7</v>
      </c>
      <c r="F949" s="9">
        <v>71.5</v>
      </c>
      <c r="G949" s="9">
        <f t="shared" si="14"/>
        <v>127.2</v>
      </c>
      <c r="H949" s="8"/>
    </row>
    <row r="950" spans="1:8" ht="22.5" customHeight="1">
      <c r="A950" s="8" t="s">
        <v>61</v>
      </c>
      <c r="B950" s="8" t="str">
        <f>"赵彦衡"</f>
        <v>赵彦衡</v>
      </c>
      <c r="C950" s="8" t="str">
        <f>"341127199208072413"</f>
        <v>341127199208072413</v>
      </c>
      <c r="D950" s="8" t="str">
        <f>"20200303223"</f>
        <v>20200303223</v>
      </c>
      <c r="E950" s="9">
        <v>58</v>
      </c>
      <c r="F950" s="9">
        <v>69</v>
      </c>
      <c r="G950" s="9">
        <f t="shared" si="14"/>
        <v>127</v>
      </c>
      <c r="H950" s="8"/>
    </row>
    <row r="951" spans="1:8" ht="22.5" customHeight="1">
      <c r="A951" s="8" t="s">
        <v>61</v>
      </c>
      <c r="B951" s="8" t="str">
        <f>"纪如如"</f>
        <v>纪如如</v>
      </c>
      <c r="C951" s="8" t="str">
        <f>"341182199510053621"</f>
        <v>341182199510053621</v>
      </c>
      <c r="D951" s="8" t="str">
        <f>"20200303330"</f>
        <v>20200303330</v>
      </c>
      <c r="E951" s="9">
        <v>57.4</v>
      </c>
      <c r="F951" s="9">
        <v>69.5</v>
      </c>
      <c r="G951" s="9">
        <f t="shared" si="14"/>
        <v>126.9</v>
      </c>
      <c r="H951" s="8"/>
    </row>
    <row r="952" spans="1:8" ht="22.5" customHeight="1">
      <c r="A952" s="8" t="s">
        <v>61</v>
      </c>
      <c r="B952" s="8" t="str">
        <f>"蒋传皓"</f>
        <v>蒋传皓</v>
      </c>
      <c r="C952" s="8" t="str">
        <f>"420302198706210936"</f>
        <v>420302198706210936</v>
      </c>
      <c r="D952" s="8" t="str">
        <f>"20200303319"</f>
        <v>20200303319</v>
      </c>
      <c r="E952" s="9">
        <v>57.8</v>
      </c>
      <c r="F952" s="9">
        <v>69</v>
      </c>
      <c r="G952" s="9">
        <f t="shared" si="14"/>
        <v>126.8</v>
      </c>
      <c r="H952" s="8"/>
    </row>
    <row r="953" spans="1:8" ht="22.5" customHeight="1">
      <c r="A953" s="8" t="s">
        <v>61</v>
      </c>
      <c r="B953" s="8" t="str">
        <f>"朱黎"</f>
        <v>朱黎</v>
      </c>
      <c r="C953" s="8" t="str">
        <f>"341182198905160224"</f>
        <v>341182198905160224</v>
      </c>
      <c r="D953" s="8" t="str">
        <f>"20200303506"</f>
        <v>20200303506</v>
      </c>
      <c r="E953" s="9">
        <v>59.9</v>
      </c>
      <c r="F953" s="9">
        <v>66.5</v>
      </c>
      <c r="G953" s="9">
        <f t="shared" si="14"/>
        <v>126.4</v>
      </c>
      <c r="H953" s="8"/>
    </row>
    <row r="954" spans="1:8" ht="22.5" customHeight="1">
      <c r="A954" s="8" t="s">
        <v>61</v>
      </c>
      <c r="B954" s="8" t="str">
        <f>"曹春红"</f>
        <v>曹春红</v>
      </c>
      <c r="C954" s="8" t="str">
        <f>"341181199604010626"</f>
        <v>341181199604010626</v>
      </c>
      <c r="D954" s="8" t="str">
        <f>"20200303201"</f>
        <v>20200303201</v>
      </c>
      <c r="E954" s="9">
        <v>54.2</v>
      </c>
      <c r="F954" s="9">
        <v>72</v>
      </c>
      <c r="G954" s="9">
        <f t="shared" si="14"/>
        <v>126.2</v>
      </c>
      <c r="H954" s="8"/>
    </row>
    <row r="955" spans="1:8" ht="22.5" customHeight="1">
      <c r="A955" s="8" t="s">
        <v>61</v>
      </c>
      <c r="B955" s="8" t="str">
        <f>"王恒"</f>
        <v>王恒</v>
      </c>
      <c r="C955" s="8" t="str">
        <f>"34118219920324003X"</f>
        <v>34118219920324003X</v>
      </c>
      <c r="D955" s="8" t="str">
        <f>"20200303114"</f>
        <v>20200303114</v>
      </c>
      <c r="E955" s="9">
        <v>64.5</v>
      </c>
      <c r="F955" s="9">
        <v>61.5</v>
      </c>
      <c r="G955" s="9">
        <f t="shared" si="14"/>
        <v>126</v>
      </c>
      <c r="H955" s="8"/>
    </row>
    <row r="956" spans="1:8" ht="22.5" customHeight="1">
      <c r="A956" s="8" t="s">
        <v>61</v>
      </c>
      <c r="B956" s="8" t="str">
        <f>"时慧"</f>
        <v>时慧</v>
      </c>
      <c r="C956" s="8" t="str">
        <f>"341182199510062448"</f>
        <v>341182199510062448</v>
      </c>
      <c r="D956" s="8" t="str">
        <f>"20200303128"</f>
        <v>20200303128</v>
      </c>
      <c r="E956" s="9">
        <v>56.5</v>
      </c>
      <c r="F956" s="9">
        <v>69.5</v>
      </c>
      <c r="G956" s="9">
        <f t="shared" si="14"/>
        <v>126</v>
      </c>
      <c r="H956" s="8"/>
    </row>
    <row r="957" spans="1:8" ht="22.5" customHeight="1">
      <c r="A957" s="8" t="s">
        <v>61</v>
      </c>
      <c r="B957" s="8" t="str">
        <f>"周国靖"</f>
        <v>周国靖</v>
      </c>
      <c r="C957" s="8" t="str">
        <f>"34110219911207023X"</f>
        <v>34110219911207023X</v>
      </c>
      <c r="D957" s="8" t="str">
        <f>"20200303127"</f>
        <v>20200303127</v>
      </c>
      <c r="E957" s="9">
        <v>52.5</v>
      </c>
      <c r="F957" s="9">
        <v>73</v>
      </c>
      <c r="G957" s="9">
        <f t="shared" si="14"/>
        <v>125.5</v>
      </c>
      <c r="H957" s="8"/>
    </row>
    <row r="958" spans="1:8" ht="22.5" customHeight="1">
      <c r="A958" s="8" t="s">
        <v>61</v>
      </c>
      <c r="B958" s="8" t="str">
        <f>"曹晚霞"</f>
        <v>曹晚霞</v>
      </c>
      <c r="C958" s="8" t="str">
        <f>"341182199611012247"</f>
        <v>341182199611012247</v>
      </c>
      <c r="D958" s="8" t="str">
        <f>"20200303329"</f>
        <v>20200303329</v>
      </c>
      <c r="E958" s="9">
        <v>57.2</v>
      </c>
      <c r="F958" s="9">
        <v>68</v>
      </c>
      <c r="G958" s="9">
        <f t="shared" si="14"/>
        <v>125.2</v>
      </c>
      <c r="H958" s="8"/>
    </row>
    <row r="959" spans="1:8" ht="22.5" customHeight="1">
      <c r="A959" s="8" t="s">
        <v>61</v>
      </c>
      <c r="B959" s="8" t="str">
        <f>" 王坤"</f>
        <v> 王坤</v>
      </c>
      <c r="C959" s="8" t="str">
        <f>"341126199002217713"</f>
        <v>341126199002217713</v>
      </c>
      <c r="D959" s="8" t="str">
        <f>"20200303604"</f>
        <v>20200303604</v>
      </c>
      <c r="E959" s="9">
        <v>51.7</v>
      </c>
      <c r="F959" s="9">
        <v>73.5</v>
      </c>
      <c r="G959" s="9">
        <f t="shared" si="14"/>
        <v>125.2</v>
      </c>
      <c r="H959" s="8"/>
    </row>
    <row r="960" spans="1:8" ht="22.5" customHeight="1">
      <c r="A960" s="8" t="s">
        <v>61</v>
      </c>
      <c r="B960" s="8" t="str">
        <f>"卢政"</f>
        <v>卢政</v>
      </c>
      <c r="C960" s="8" t="str">
        <f>"341122199511284230"</f>
        <v>341122199511284230</v>
      </c>
      <c r="D960" s="8" t="str">
        <f>"20200303005"</f>
        <v>20200303005</v>
      </c>
      <c r="E960" s="9">
        <v>54.9</v>
      </c>
      <c r="F960" s="9">
        <v>70</v>
      </c>
      <c r="G960" s="9">
        <f t="shared" si="14"/>
        <v>124.9</v>
      </c>
      <c r="H960" s="8"/>
    </row>
    <row r="961" spans="1:8" ht="22.5" customHeight="1">
      <c r="A961" s="8" t="s">
        <v>61</v>
      </c>
      <c r="B961" s="8" t="str">
        <f>"钱颖"</f>
        <v>钱颖</v>
      </c>
      <c r="C961" s="8" t="str">
        <f>"341182199410022422"</f>
        <v>341182199410022422</v>
      </c>
      <c r="D961" s="8" t="str">
        <f>"20200303226"</f>
        <v>20200303226</v>
      </c>
      <c r="E961" s="9">
        <v>52.8</v>
      </c>
      <c r="F961" s="9">
        <v>72</v>
      </c>
      <c r="G961" s="9">
        <f t="shared" si="14"/>
        <v>124.8</v>
      </c>
      <c r="H961" s="8"/>
    </row>
    <row r="962" spans="1:8" ht="22.5" customHeight="1">
      <c r="A962" s="8" t="s">
        <v>61</v>
      </c>
      <c r="B962" s="8" t="str">
        <f>"徐慧"</f>
        <v>徐慧</v>
      </c>
      <c r="C962" s="8" t="str">
        <f>"341102199107210226"</f>
        <v>341102199107210226</v>
      </c>
      <c r="D962" s="8" t="str">
        <f>"20200303505"</f>
        <v>20200303505</v>
      </c>
      <c r="E962" s="9">
        <v>51.7</v>
      </c>
      <c r="F962" s="9">
        <v>73</v>
      </c>
      <c r="G962" s="9">
        <f t="shared" si="14"/>
        <v>124.7</v>
      </c>
      <c r="H962" s="8"/>
    </row>
    <row r="963" spans="1:8" ht="22.5" customHeight="1">
      <c r="A963" s="8" t="s">
        <v>61</v>
      </c>
      <c r="B963" s="8" t="str">
        <f>"魏星宇"</f>
        <v>魏星宇</v>
      </c>
      <c r="C963" s="8" t="str">
        <f>"341182199109133211"</f>
        <v>341182199109133211</v>
      </c>
      <c r="D963" s="8" t="str">
        <f>"20200303110"</f>
        <v>20200303110</v>
      </c>
      <c r="E963" s="9">
        <v>58.4</v>
      </c>
      <c r="F963" s="9">
        <v>66</v>
      </c>
      <c r="G963" s="9">
        <f aca="true" t="shared" si="15" ref="G963:G1026">E963+F963</f>
        <v>124.4</v>
      </c>
      <c r="H963" s="8"/>
    </row>
    <row r="964" spans="1:8" ht="22.5" customHeight="1">
      <c r="A964" s="8" t="s">
        <v>61</v>
      </c>
      <c r="B964" s="8" t="str">
        <f>"王佳佳"</f>
        <v>王佳佳</v>
      </c>
      <c r="C964" s="8" t="str">
        <f>"341126199303222321"</f>
        <v>341126199303222321</v>
      </c>
      <c r="D964" s="8" t="str">
        <f>"20200303207"</f>
        <v>20200303207</v>
      </c>
      <c r="E964" s="9">
        <v>50.9</v>
      </c>
      <c r="F964" s="9">
        <v>73.5</v>
      </c>
      <c r="G964" s="9">
        <f t="shared" si="15"/>
        <v>124.4</v>
      </c>
      <c r="H964" s="8"/>
    </row>
    <row r="965" spans="1:8" ht="22.5" customHeight="1">
      <c r="A965" s="8" t="s">
        <v>61</v>
      </c>
      <c r="B965" s="8" t="str">
        <f>"徐斌"</f>
        <v>徐斌</v>
      </c>
      <c r="C965" s="8" t="str">
        <f>"341181198809052411"</f>
        <v>341181198809052411</v>
      </c>
      <c r="D965" s="8" t="str">
        <f>"20200303011"</f>
        <v>20200303011</v>
      </c>
      <c r="E965" s="9">
        <v>53.8</v>
      </c>
      <c r="F965" s="9">
        <v>70.5</v>
      </c>
      <c r="G965" s="9">
        <f t="shared" si="15"/>
        <v>124.3</v>
      </c>
      <c r="H965" s="8"/>
    </row>
    <row r="966" spans="1:8" ht="22.5" customHeight="1">
      <c r="A966" s="8" t="s">
        <v>61</v>
      </c>
      <c r="B966" s="8" t="str">
        <f>"潘男男"</f>
        <v>潘男男</v>
      </c>
      <c r="C966" s="8" t="str">
        <f>"341182199208020634"</f>
        <v>341182199208020634</v>
      </c>
      <c r="D966" s="8" t="str">
        <f>"20200303030"</f>
        <v>20200303030</v>
      </c>
      <c r="E966" s="9">
        <v>53.8</v>
      </c>
      <c r="F966" s="9">
        <v>70.5</v>
      </c>
      <c r="G966" s="9">
        <f t="shared" si="15"/>
        <v>124.3</v>
      </c>
      <c r="H966" s="8"/>
    </row>
    <row r="967" spans="1:8" ht="22.5" customHeight="1">
      <c r="A967" s="8" t="s">
        <v>61</v>
      </c>
      <c r="B967" s="8" t="str">
        <f>"岳婷婷"</f>
        <v>岳婷婷</v>
      </c>
      <c r="C967" s="8" t="str">
        <f>"341182199003240027"</f>
        <v>341182199003240027</v>
      </c>
      <c r="D967" s="8" t="str">
        <f>"20200303016"</f>
        <v>20200303016</v>
      </c>
      <c r="E967" s="9">
        <v>55.7</v>
      </c>
      <c r="F967" s="9">
        <v>68.5</v>
      </c>
      <c r="G967" s="9">
        <f t="shared" si="15"/>
        <v>124.2</v>
      </c>
      <c r="H967" s="8"/>
    </row>
    <row r="968" spans="1:8" ht="22.5" customHeight="1">
      <c r="A968" s="8" t="s">
        <v>61</v>
      </c>
      <c r="B968" s="8" t="str">
        <f>"张乃孙"</f>
        <v>张乃孙</v>
      </c>
      <c r="C968" s="8" t="str">
        <f>"341182199512192019"</f>
        <v>341182199512192019</v>
      </c>
      <c r="D968" s="8" t="str">
        <f>"20200303215"</f>
        <v>20200303215</v>
      </c>
      <c r="E968" s="9">
        <v>52.7</v>
      </c>
      <c r="F968" s="9">
        <v>71.5</v>
      </c>
      <c r="G968" s="9">
        <f t="shared" si="15"/>
        <v>124.2</v>
      </c>
      <c r="H968" s="8"/>
    </row>
    <row r="969" spans="1:8" ht="22.5" customHeight="1">
      <c r="A969" s="8" t="s">
        <v>61</v>
      </c>
      <c r="B969" s="8" t="str">
        <f>"纪娟"</f>
        <v>纪娟</v>
      </c>
      <c r="C969" s="8" t="str">
        <f>"341182199405180020"</f>
        <v>341182199405180020</v>
      </c>
      <c r="D969" s="8" t="str">
        <f>"20200303304"</f>
        <v>20200303304</v>
      </c>
      <c r="E969" s="9">
        <v>54.6</v>
      </c>
      <c r="F969" s="9">
        <v>69.5</v>
      </c>
      <c r="G969" s="9">
        <f t="shared" si="15"/>
        <v>124.1</v>
      </c>
      <c r="H969" s="8"/>
    </row>
    <row r="970" spans="1:8" ht="22.5" customHeight="1">
      <c r="A970" s="8" t="s">
        <v>61</v>
      </c>
      <c r="B970" s="8" t="str">
        <f>"沈鸿渐"</f>
        <v>沈鸿渐</v>
      </c>
      <c r="C970" s="8" t="str">
        <f>"341182199202030452"</f>
        <v>341182199202030452</v>
      </c>
      <c r="D970" s="8" t="str">
        <f>"20200303308"</f>
        <v>20200303308</v>
      </c>
      <c r="E970" s="9">
        <v>56.2</v>
      </c>
      <c r="F970" s="9">
        <v>67.5</v>
      </c>
      <c r="G970" s="9">
        <f t="shared" si="15"/>
        <v>123.7</v>
      </c>
      <c r="H970" s="8"/>
    </row>
    <row r="971" spans="1:8" ht="22.5" customHeight="1">
      <c r="A971" s="8" t="s">
        <v>61</v>
      </c>
      <c r="B971" s="8" t="str">
        <f>"王浩"</f>
        <v>王浩</v>
      </c>
      <c r="C971" s="8" t="str">
        <f>"341182199212202633"</f>
        <v>341182199212202633</v>
      </c>
      <c r="D971" s="8" t="str">
        <f>"20200303311"</f>
        <v>20200303311</v>
      </c>
      <c r="E971" s="9">
        <v>52.6</v>
      </c>
      <c r="F971" s="9">
        <v>71</v>
      </c>
      <c r="G971" s="9">
        <f t="shared" si="15"/>
        <v>123.6</v>
      </c>
      <c r="H971" s="8"/>
    </row>
    <row r="972" spans="1:8" ht="22.5" customHeight="1">
      <c r="A972" s="8" t="s">
        <v>61</v>
      </c>
      <c r="B972" s="8" t="str">
        <f>"张明明"</f>
        <v>张明明</v>
      </c>
      <c r="C972" s="8" t="str">
        <f>"34112619920214001X"</f>
        <v>34112619920214001X</v>
      </c>
      <c r="D972" s="8" t="str">
        <f>"20200303405"</f>
        <v>20200303405</v>
      </c>
      <c r="E972" s="9">
        <v>51.6</v>
      </c>
      <c r="F972" s="9">
        <v>72</v>
      </c>
      <c r="G972" s="9">
        <f t="shared" si="15"/>
        <v>123.6</v>
      </c>
      <c r="H972" s="8"/>
    </row>
    <row r="973" spans="1:8" ht="22.5" customHeight="1">
      <c r="A973" s="8" t="s">
        <v>61</v>
      </c>
      <c r="B973" s="8" t="str">
        <f>"郑飞环"</f>
        <v>郑飞环</v>
      </c>
      <c r="C973" s="8" t="str">
        <f>"350204199111172022"</f>
        <v>350204199111172022</v>
      </c>
      <c r="D973" s="8" t="str">
        <f>"20200303406"</f>
        <v>20200303406</v>
      </c>
      <c r="E973" s="9">
        <v>58.1</v>
      </c>
      <c r="F973" s="9">
        <v>65.5</v>
      </c>
      <c r="G973" s="9">
        <f t="shared" si="15"/>
        <v>123.6</v>
      </c>
      <c r="H973" s="8"/>
    </row>
    <row r="974" spans="1:8" ht="22.5" customHeight="1">
      <c r="A974" s="8" t="s">
        <v>61</v>
      </c>
      <c r="B974" s="8" t="str">
        <f>"王云"</f>
        <v>王云</v>
      </c>
      <c r="C974" s="8" t="str">
        <f>"340221199307273866"</f>
        <v>340221199307273866</v>
      </c>
      <c r="D974" s="8" t="str">
        <f>"20200303309"</f>
        <v>20200303309</v>
      </c>
      <c r="E974" s="9">
        <v>54</v>
      </c>
      <c r="F974" s="9">
        <v>69.5</v>
      </c>
      <c r="G974" s="9">
        <f t="shared" si="15"/>
        <v>123.5</v>
      </c>
      <c r="H974" s="8"/>
    </row>
    <row r="975" spans="1:8" ht="22.5" customHeight="1">
      <c r="A975" s="8" t="s">
        <v>61</v>
      </c>
      <c r="B975" s="8" t="str">
        <f>"付旭"</f>
        <v>付旭</v>
      </c>
      <c r="C975" s="8" t="str">
        <f>"341122199512260038"</f>
        <v>341122199512260038</v>
      </c>
      <c r="D975" s="8" t="str">
        <f>"20200303521"</f>
        <v>20200303521</v>
      </c>
      <c r="E975" s="9">
        <v>53.5</v>
      </c>
      <c r="F975" s="9">
        <v>70</v>
      </c>
      <c r="G975" s="9">
        <f t="shared" si="15"/>
        <v>123.5</v>
      </c>
      <c r="H975" s="8"/>
    </row>
    <row r="976" spans="1:8" ht="22.5" customHeight="1">
      <c r="A976" s="8" t="s">
        <v>61</v>
      </c>
      <c r="B976" s="8" t="str">
        <f>"陆毛弟"</f>
        <v>陆毛弟</v>
      </c>
      <c r="C976" s="8" t="str">
        <f>"341125199510210933"</f>
        <v>341125199510210933</v>
      </c>
      <c r="D976" s="8" t="str">
        <f>"20200303103"</f>
        <v>20200303103</v>
      </c>
      <c r="E976" s="9">
        <v>54.8</v>
      </c>
      <c r="F976" s="9">
        <v>68.5</v>
      </c>
      <c r="G976" s="9">
        <f t="shared" si="15"/>
        <v>123.3</v>
      </c>
      <c r="H976" s="8"/>
    </row>
    <row r="977" spans="1:8" ht="22.5" customHeight="1">
      <c r="A977" s="8" t="s">
        <v>61</v>
      </c>
      <c r="B977" s="8" t="str">
        <f>"李品磊"</f>
        <v>李品磊</v>
      </c>
      <c r="C977" s="8" t="str">
        <f>"341182199009170015"</f>
        <v>341182199009170015</v>
      </c>
      <c r="D977" s="8" t="str">
        <f>"20200303008"</f>
        <v>20200303008</v>
      </c>
      <c r="E977" s="9">
        <v>54.1</v>
      </c>
      <c r="F977" s="9">
        <v>69</v>
      </c>
      <c r="G977" s="9">
        <f t="shared" si="15"/>
        <v>123.1</v>
      </c>
      <c r="H977" s="8"/>
    </row>
    <row r="978" spans="1:8" ht="22.5" customHeight="1">
      <c r="A978" s="8" t="s">
        <v>61</v>
      </c>
      <c r="B978" s="8" t="str">
        <f>"马腾越"</f>
        <v>马腾越</v>
      </c>
      <c r="C978" s="8" t="str">
        <f>"341182199402131020"</f>
        <v>341182199402131020</v>
      </c>
      <c r="D978" s="8" t="str">
        <f>"20200303510"</f>
        <v>20200303510</v>
      </c>
      <c r="E978" s="9">
        <v>54.6</v>
      </c>
      <c r="F978" s="9">
        <v>68.5</v>
      </c>
      <c r="G978" s="9">
        <f t="shared" si="15"/>
        <v>123.1</v>
      </c>
      <c r="H978" s="8"/>
    </row>
    <row r="979" spans="1:8" ht="22.5" customHeight="1">
      <c r="A979" s="8" t="s">
        <v>61</v>
      </c>
      <c r="B979" s="8" t="str">
        <f>"陈娟"</f>
        <v>陈娟</v>
      </c>
      <c r="C979" s="8" t="str">
        <f>"341126199404166525"</f>
        <v>341126199404166525</v>
      </c>
      <c r="D979" s="8" t="str">
        <f>"20200303415"</f>
        <v>20200303415</v>
      </c>
      <c r="E979" s="9">
        <v>50.8</v>
      </c>
      <c r="F979" s="9">
        <v>72</v>
      </c>
      <c r="G979" s="9">
        <f t="shared" si="15"/>
        <v>122.8</v>
      </c>
      <c r="H979" s="8"/>
    </row>
    <row r="980" spans="1:8" ht="22.5" customHeight="1">
      <c r="A980" s="8" t="s">
        <v>61</v>
      </c>
      <c r="B980" s="8" t="str">
        <f>"叶帆"</f>
        <v>叶帆</v>
      </c>
      <c r="C980" s="8" t="str">
        <f>"341182199407164411"</f>
        <v>341182199407164411</v>
      </c>
      <c r="D980" s="8" t="str">
        <f>"20200303402"</f>
        <v>20200303402</v>
      </c>
      <c r="E980" s="9">
        <v>52.6</v>
      </c>
      <c r="F980" s="9">
        <v>69.5</v>
      </c>
      <c r="G980" s="9">
        <f t="shared" si="15"/>
        <v>122.1</v>
      </c>
      <c r="H980" s="8"/>
    </row>
    <row r="981" spans="1:8" ht="22.5" customHeight="1">
      <c r="A981" s="8" t="s">
        <v>61</v>
      </c>
      <c r="B981" s="8" t="str">
        <f>"李敏"</f>
        <v>李敏</v>
      </c>
      <c r="C981" s="8" t="str">
        <f>"34118119941113522X"</f>
        <v>34118119941113522X</v>
      </c>
      <c r="D981" s="8" t="str">
        <f>"20200303126"</f>
        <v>20200303126</v>
      </c>
      <c r="E981" s="9">
        <v>56</v>
      </c>
      <c r="F981" s="9">
        <v>66</v>
      </c>
      <c r="G981" s="9">
        <f t="shared" si="15"/>
        <v>122</v>
      </c>
      <c r="H981" s="8"/>
    </row>
    <row r="982" spans="1:8" ht="22.5" customHeight="1">
      <c r="A982" s="8" t="s">
        <v>61</v>
      </c>
      <c r="B982" s="8" t="str">
        <f>"王冬磊"</f>
        <v>王冬磊</v>
      </c>
      <c r="C982" s="8" t="str">
        <f>"34118119880126003X"</f>
        <v>34118119880126003X</v>
      </c>
      <c r="D982" s="8" t="str">
        <f>"20200303424"</f>
        <v>20200303424</v>
      </c>
      <c r="E982" s="9">
        <v>57.2</v>
      </c>
      <c r="F982" s="9">
        <v>64.5</v>
      </c>
      <c r="G982" s="9">
        <f t="shared" si="15"/>
        <v>121.7</v>
      </c>
      <c r="H982" s="8"/>
    </row>
    <row r="983" spans="1:8" ht="22.5" customHeight="1">
      <c r="A983" s="8" t="s">
        <v>61</v>
      </c>
      <c r="B983" s="8" t="str">
        <f>"陈晓敏"</f>
        <v>陈晓敏</v>
      </c>
      <c r="C983" s="8" t="str">
        <f>"34118219950829002X"</f>
        <v>34118219950829002X</v>
      </c>
      <c r="D983" s="8" t="str">
        <f>"20200303426"</f>
        <v>20200303426</v>
      </c>
      <c r="E983" s="9">
        <v>51.7</v>
      </c>
      <c r="F983" s="9">
        <v>70</v>
      </c>
      <c r="G983" s="9">
        <f t="shared" si="15"/>
        <v>121.7</v>
      </c>
      <c r="H983" s="8"/>
    </row>
    <row r="984" spans="1:8" ht="22.5" customHeight="1">
      <c r="A984" s="8" t="s">
        <v>61</v>
      </c>
      <c r="B984" s="8" t="str">
        <f>"李大芹"</f>
        <v>李大芹</v>
      </c>
      <c r="C984" s="8" t="str">
        <f>"341182199510182028"</f>
        <v>341182199510182028</v>
      </c>
      <c r="D984" s="8" t="str">
        <f>"20200303324"</f>
        <v>20200303324</v>
      </c>
      <c r="E984" s="9">
        <v>52.1</v>
      </c>
      <c r="F984" s="9">
        <v>69.5</v>
      </c>
      <c r="G984" s="9">
        <f t="shared" si="15"/>
        <v>121.6</v>
      </c>
      <c r="H984" s="8"/>
    </row>
    <row r="985" spans="1:8" ht="22.5" customHeight="1">
      <c r="A985" s="8" t="s">
        <v>61</v>
      </c>
      <c r="B985" s="8" t="str">
        <f>"聂星龙"</f>
        <v>聂星龙</v>
      </c>
      <c r="C985" s="8" t="str">
        <f>"341182199402110019"</f>
        <v>341182199402110019</v>
      </c>
      <c r="D985" s="8" t="str">
        <f>"20200303417"</f>
        <v>20200303417</v>
      </c>
      <c r="E985" s="9">
        <v>53.6</v>
      </c>
      <c r="F985" s="9">
        <v>68</v>
      </c>
      <c r="G985" s="9">
        <f t="shared" si="15"/>
        <v>121.6</v>
      </c>
      <c r="H985" s="8"/>
    </row>
    <row r="986" spans="1:8" ht="22.5" customHeight="1">
      <c r="A986" s="8" t="s">
        <v>61</v>
      </c>
      <c r="B986" s="8" t="str">
        <f>"叶翔"</f>
        <v>叶翔</v>
      </c>
      <c r="C986" s="8" t="str">
        <f>"341182199405220213"</f>
        <v>341182199405220213</v>
      </c>
      <c r="D986" s="8" t="str">
        <f>"20200303314"</f>
        <v>20200303314</v>
      </c>
      <c r="E986" s="9">
        <v>48</v>
      </c>
      <c r="F986" s="9">
        <v>73.5</v>
      </c>
      <c r="G986" s="9">
        <f t="shared" si="15"/>
        <v>121.5</v>
      </c>
      <c r="H986" s="8"/>
    </row>
    <row r="987" spans="1:8" ht="22.5" customHeight="1">
      <c r="A987" s="8" t="s">
        <v>61</v>
      </c>
      <c r="B987" s="8" t="str">
        <f>"朱梦寒"</f>
        <v>朱梦寒</v>
      </c>
      <c r="C987" s="8" t="str">
        <f>"341182199512024621"</f>
        <v>341182199512024621</v>
      </c>
      <c r="D987" s="8" t="str">
        <f>"20200303606"</f>
        <v>20200303606</v>
      </c>
      <c r="E987" s="9">
        <v>51.7</v>
      </c>
      <c r="F987" s="9">
        <v>69</v>
      </c>
      <c r="G987" s="9">
        <f t="shared" si="15"/>
        <v>120.7</v>
      </c>
      <c r="H987" s="8"/>
    </row>
    <row r="988" spans="1:8" ht="22.5" customHeight="1">
      <c r="A988" s="8" t="s">
        <v>61</v>
      </c>
      <c r="B988" s="8" t="str">
        <f>"陈晋楚"</f>
        <v>陈晋楚</v>
      </c>
      <c r="C988" s="8" t="str">
        <f>"341182199511020223"</f>
        <v>341182199511020223</v>
      </c>
      <c r="D988" s="8" t="str">
        <f>"20200303124"</f>
        <v>20200303124</v>
      </c>
      <c r="E988" s="9">
        <v>48.9</v>
      </c>
      <c r="F988" s="9">
        <v>71.5</v>
      </c>
      <c r="G988" s="9">
        <f t="shared" si="15"/>
        <v>120.4</v>
      </c>
      <c r="H988" s="8"/>
    </row>
    <row r="989" spans="1:8" ht="22.5" customHeight="1">
      <c r="A989" s="8" t="s">
        <v>61</v>
      </c>
      <c r="B989" s="8" t="str">
        <f>"王伟"</f>
        <v>王伟</v>
      </c>
      <c r="C989" s="8" t="str">
        <f>"341126199108206019"</f>
        <v>341126199108206019</v>
      </c>
      <c r="D989" s="8" t="str">
        <f>"20200303121"</f>
        <v>20200303121</v>
      </c>
      <c r="E989" s="9">
        <v>52.6</v>
      </c>
      <c r="F989" s="9">
        <v>67.5</v>
      </c>
      <c r="G989" s="9">
        <f t="shared" si="15"/>
        <v>120.1</v>
      </c>
      <c r="H989" s="8"/>
    </row>
    <row r="990" spans="1:8" ht="22.5" customHeight="1">
      <c r="A990" s="8" t="s">
        <v>61</v>
      </c>
      <c r="B990" s="8" t="str">
        <f>"钱帆"</f>
        <v>钱帆</v>
      </c>
      <c r="C990" s="8" t="str">
        <f>"340322199311141227"</f>
        <v>340322199311141227</v>
      </c>
      <c r="D990" s="8" t="str">
        <f>"20200303515"</f>
        <v>20200303515</v>
      </c>
      <c r="E990" s="9">
        <v>50.9</v>
      </c>
      <c r="F990" s="9">
        <v>69</v>
      </c>
      <c r="G990" s="9">
        <f t="shared" si="15"/>
        <v>119.9</v>
      </c>
      <c r="H990" s="8"/>
    </row>
    <row r="991" spans="1:8" ht="22.5" customHeight="1">
      <c r="A991" s="8" t="s">
        <v>61</v>
      </c>
      <c r="B991" s="8" t="str">
        <f>"王行娟"</f>
        <v>王行娟</v>
      </c>
      <c r="C991" s="8" t="str">
        <f>"341182199108205447"</f>
        <v>341182199108205447</v>
      </c>
      <c r="D991" s="8" t="str">
        <f>"20200303205"</f>
        <v>20200303205</v>
      </c>
      <c r="E991" s="9">
        <v>52.2</v>
      </c>
      <c r="F991" s="9">
        <v>67.5</v>
      </c>
      <c r="G991" s="9">
        <f t="shared" si="15"/>
        <v>119.7</v>
      </c>
      <c r="H991" s="8"/>
    </row>
    <row r="992" spans="1:8" ht="22.5" customHeight="1">
      <c r="A992" s="8" t="s">
        <v>61</v>
      </c>
      <c r="B992" s="8" t="str">
        <f>"蔡志颖"</f>
        <v>蔡志颖</v>
      </c>
      <c r="C992" s="8" t="str">
        <f>"341182199602185621"</f>
        <v>341182199602185621</v>
      </c>
      <c r="D992" s="8" t="str">
        <f>"20200303229"</f>
        <v>20200303229</v>
      </c>
      <c r="E992" s="9">
        <v>50.2</v>
      </c>
      <c r="F992" s="9">
        <v>69.5</v>
      </c>
      <c r="G992" s="9">
        <f t="shared" si="15"/>
        <v>119.7</v>
      </c>
      <c r="H992" s="8"/>
    </row>
    <row r="993" spans="1:8" ht="22.5" customHeight="1">
      <c r="A993" s="8" t="s">
        <v>61</v>
      </c>
      <c r="B993" s="8" t="str">
        <f>"刘超"</f>
        <v>刘超</v>
      </c>
      <c r="C993" s="8" t="str">
        <f>"341182199010086435"</f>
        <v>341182199010086435</v>
      </c>
      <c r="D993" s="8" t="str">
        <f>"20200303026"</f>
        <v>20200303026</v>
      </c>
      <c r="E993" s="9">
        <v>52.6</v>
      </c>
      <c r="F993" s="9">
        <v>67</v>
      </c>
      <c r="G993" s="9">
        <f t="shared" si="15"/>
        <v>119.6</v>
      </c>
      <c r="H993" s="8"/>
    </row>
    <row r="994" spans="1:8" ht="22.5" customHeight="1">
      <c r="A994" s="8" t="s">
        <v>61</v>
      </c>
      <c r="B994" s="8" t="str">
        <f>"郎开蕾"</f>
        <v>郎开蕾</v>
      </c>
      <c r="C994" s="8" t="str">
        <f>"341182199002162661"</f>
        <v>341182199002162661</v>
      </c>
      <c r="D994" s="8" t="str">
        <f>"20200303413"</f>
        <v>20200303413</v>
      </c>
      <c r="E994" s="9">
        <v>53.6</v>
      </c>
      <c r="F994" s="9">
        <v>66</v>
      </c>
      <c r="G994" s="9">
        <f t="shared" si="15"/>
        <v>119.6</v>
      </c>
      <c r="H994" s="8"/>
    </row>
    <row r="995" spans="1:8" ht="22.5" customHeight="1">
      <c r="A995" s="8" t="s">
        <v>61</v>
      </c>
      <c r="B995" s="8" t="str">
        <f>"顾越"</f>
        <v>顾越</v>
      </c>
      <c r="C995" s="8" t="str">
        <f>"341102199501200624"</f>
        <v>341102199501200624</v>
      </c>
      <c r="D995" s="8" t="str">
        <f>"20200303525"</f>
        <v>20200303525</v>
      </c>
      <c r="E995" s="9">
        <v>49.6</v>
      </c>
      <c r="F995" s="9">
        <v>70</v>
      </c>
      <c r="G995" s="9">
        <f t="shared" si="15"/>
        <v>119.6</v>
      </c>
      <c r="H995" s="8"/>
    </row>
    <row r="996" spans="1:8" ht="22.5" customHeight="1">
      <c r="A996" s="8" t="s">
        <v>61</v>
      </c>
      <c r="B996" s="8" t="str">
        <f>"汤祎"</f>
        <v>汤祎</v>
      </c>
      <c r="C996" s="8" t="str">
        <f>"341102198907090221"</f>
        <v>341102198907090221</v>
      </c>
      <c r="D996" s="8" t="str">
        <f>"20200303607"</f>
        <v>20200303607</v>
      </c>
      <c r="E996" s="9">
        <v>51</v>
      </c>
      <c r="F996" s="9">
        <v>68</v>
      </c>
      <c r="G996" s="9">
        <f t="shared" si="15"/>
        <v>119</v>
      </c>
      <c r="H996" s="8"/>
    </row>
    <row r="997" spans="1:8" ht="22.5" customHeight="1">
      <c r="A997" s="8" t="s">
        <v>61</v>
      </c>
      <c r="B997" s="8" t="str">
        <f>"杨柳"</f>
        <v>杨柳</v>
      </c>
      <c r="C997" s="8" t="str">
        <f>"23022419891103262X"</f>
        <v>23022419891103262X</v>
      </c>
      <c r="D997" s="8" t="str">
        <f>"20200303203"</f>
        <v>20200303203</v>
      </c>
      <c r="E997" s="9">
        <v>53.7</v>
      </c>
      <c r="F997" s="9">
        <v>65</v>
      </c>
      <c r="G997" s="9">
        <f t="shared" si="15"/>
        <v>118.7</v>
      </c>
      <c r="H997" s="8"/>
    </row>
    <row r="998" spans="1:8" ht="22.5" customHeight="1">
      <c r="A998" s="8" t="s">
        <v>61</v>
      </c>
      <c r="B998" s="8" t="str">
        <f>"查新宇"</f>
        <v>查新宇</v>
      </c>
      <c r="C998" s="8" t="str">
        <f>"341182199302154225"</f>
        <v>341182199302154225</v>
      </c>
      <c r="D998" s="8" t="str">
        <f>"20200303527"</f>
        <v>20200303527</v>
      </c>
      <c r="E998" s="9">
        <v>50.6</v>
      </c>
      <c r="F998" s="9">
        <v>68</v>
      </c>
      <c r="G998" s="9">
        <f t="shared" si="15"/>
        <v>118.6</v>
      </c>
      <c r="H998" s="8"/>
    </row>
    <row r="999" spans="1:8" ht="22.5" customHeight="1">
      <c r="A999" s="8" t="s">
        <v>61</v>
      </c>
      <c r="B999" s="8" t="str">
        <f>"汪胜婷"</f>
        <v>汪胜婷</v>
      </c>
      <c r="C999" s="8" t="str">
        <f>"341182199009242621"</f>
        <v>341182199009242621</v>
      </c>
      <c r="D999" s="8" t="str">
        <f>"20200303129"</f>
        <v>20200303129</v>
      </c>
      <c r="E999" s="9">
        <v>47</v>
      </c>
      <c r="F999" s="9">
        <v>71.5</v>
      </c>
      <c r="G999" s="9">
        <f t="shared" si="15"/>
        <v>118.5</v>
      </c>
      <c r="H999" s="8"/>
    </row>
    <row r="1000" spans="1:8" ht="22.5" customHeight="1">
      <c r="A1000" s="8" t="s">
        <v>61</v>
      </c>
      <c r="B1000" s="8" t="str">
        <f>"鲍兰"</f>
        <v>鲍兰</v>
      </c>
      <c r="C1000" s="8" t="str">
        <f>"341182199401034640"</f>
        <v>341182199401034640</v>
      </c>
      <c r="D1000" s="8" t="str">
        <f>"20200303511"</f>
        <v>20200303511</v>
      </c>
      <c r="E1000" s="9">
        <v>47.5</v>
      </c>
      <c r="F1000" s="9">
        <v>71</v>
      </c>
      <c r="G1000" s="9">
        <f t="shared" si="15"/>
        <v>118.5</v>
      </c>
      <c r="H1000" s="8"/>
    </row>
    <row r="1001" spans="1:8" ht="22.5" customHeight="1">
      <c r="A1001" s="8" t="s">
        <v>61</v>
      </c>
      <c r="B1001" s="8" t="str">
        <f>"朱尤建"</f>
        <v>朱尤建</v>
      </c>
      <c r="C1001" s="8" t="str">
        <f>"341182198804073615"</f>
        <v>341182198804073615</v>
      </c>
      <c r="D1001" s="8" t="str">
        <f>"20200303305"</f>
        <v>20200303305</v>
      </c>
      <c r="E1001" s="9">
        <v>53.9</v>
      </c>
      <c r="F1001" s="9">
        <v>64</v>
      </c>
      <c r="G1001" s="9">
        <f t="shared" si="15"/>
        <v>117.9</v>
      </c>
      <c r="H1001" s="8"/>
    </row>
    <row r="1002" spans="1:8" ht="22.5" customHeight="1">
      <c r="A1002" s="8" t="s">
        <v>61</v>
      </c>
      <c r="B1002" s="8" t="str">
        <f>"樊春生"</f>
        <v>樊春生</v>
      </c>
      <c r="C1002" s="8" t="str">
        <f>"341122199110254217"</f>
        <v>341122199110254217</v>
      </c>
      <c r="D1002" s="8" t="str">
        <f>"20200303004"</f>
        <v>20200303004</v>
      </c>
      <c r="E1002" s="9">
        <v>50.3</v>
      </c>
      <c r="F1002" s="9">
        <v>67</v>
      </c>
      <c r="G1002" s="9">
        <f t="shared" si="15"/>
        <v>117.3</v>
      </c>
      <c r="H1002" s="8"/>
    </row>
    <row r="1003" spans="1:8" ht="22.5" customHeight="1">
      <c r="A1003" s="8" t="s">
        <v>61</v>
      </c>
      <c r="B1003" s="8" t="str">
        <f>"杨雪"</f>
        <v>杨雪</v>
      </c>
      <c r="C1003" s="8" t="str">
        <f>"341182199412010062"</f>
        <v>341182199412010062</v>
      </c>
      <c r="D1003" s="8" t="str">
        <f>"20200303009"</f>
        <v>20200303009</v>
      </c>
      <c r="E1003" s="9">
        <v>44.3</v>
      </c>
      <c r="F1003" s="9">
        <v>72</v>
      </c>
      <c r="G1003" s="9">
        <f t="shared" si="15"/>
        <v>116.3</v>
      </c>
      <c r="H1003" s="8"/>
    </row>
    <row r="1004" spans="1:8" ht="22.5" customHeight="1">
      <c r="A1004" s="8" t="s">
        <v>61</v>
      </c>
      <c r="B1004" s="8" t="str">
        <f>"祁庆玮"</f>
        <v>祁庆玮</v>
      </c>
      <c r="C1004" s="8" t="str">
        <f>"341182199604196025"</f>
        <v>341182199604196025</v>
      </c>
      <c r="D1004" s="8" t="str">
        <f>"20200303112"</f>
        <v>20200303112</v>
      </c>
      <c r="E1004" s="9">
        <v>43.4</v>
      </c>
      <c r="F1004" s="9">
        <v>72.5</v>
      </c>
      <c r="G1004" s="9">
        <f t="shared" si="15"/>
        <v>115.9</v>
      </c>
      <c r="H1004" s="8"/>
    </row>
    <row r="1005" spans="1:8" ht="22.5" customHeight="1">
      <c r="A1005" s="8" t="s">
        <v>61</v>
      </c>
      <c r="B1005" s="8" t="str">
        <f>"徐秀如"</f>
        <v>徐秀如</v>
      </c>
      <c r="C1005" s="8" t="str">
        <f>"341181199409274060"</f>
        <v>341181199409274060</v>
      </c>
      <c r="D1005" s="8" t="str">
        <f>"20200303115"</f>
        <v>20200303115</v>
      </c>
      <c r="E1005" s="9">
        <v>45.5</v>
      </c>
      <c r="F1005" s="9">
        <v>70</v>
      </c>
      <c r="G1005" s="9">
        <f t="shared" si="15"/>
        <v>115.5</v>
      </c>
      <c r="H1005" s="8"/>
    </row>
    <row r="1006" spans="1:8" ht="22.5" customHeight="1">
      <c r="A1006" s="8" t="s">
        <v>61</v>
      </c>
      <c r="B1006" s="8" t="str">
        <f>"宋丹"</f>
        <v>宋丹</v>
      </c>
      <c r="C1006" s="8" t="str">
        <f>"341182198709010616"</f>
        <v>341182198709010616</v>
      </c>
      <c r="D1006" s="8" t="str">
        <f>"20200303411"</f>
        <v>20200303411</v>
      </c>
      <c r="E1006" s="9">
        <v>46.8</v>
      </c>
      <c r="F1006" s="9">
        <v>68.5</v>
      </c>
      <c r="G1006" s="9">
        <f t="shared" si="15"/>
        <v>115.3</v>
      </c>
      <c r="H1006" s="8"/>
    </row>
    <row r="1007" spans="1:8" ht="22.5" customHeight="1">
      <c r="A1007" s="8" t="s">
        <v>61</v>
      </c>
      <c r="B1007" s="8" t="str">
        <f>"刘阳"</f>
        <v>刘阳</v>
      </c>
      <c r="C1007" s="8" t="str">
        <f>"341182199205055612"</f>
        <v>341182199205055612</v>
      </c>
      <c r="D1007" s="8" t="str">
        <f>"20200303605"</f>
        <v>20200303605</v>
      </c>
      <c r="E1007" s="9">
        <v>49.3</v>
      </c>
      <c r="F1007" s="9">
        <v>66</v>
      </c>
      <c r="G1007" s="9">
        <f t="shared" si="15"/>
        <v>115.3</v>
      </c>
      <c r="H1007" s="8"/>
    </row>
    <row r="1008" spans="1:8" ht="22.5" customHeight="1">
      <c r="A1008" s="8" t="s">
        <v>61</v>
      </c>
      <c r="B1008" s="8" t="str">
        <f>"费晓"</f>
        <v>费晓</v>
      </c>
      <c r="C1008" s="8" t="str">
        <f>"341182199605120620"</f>
        <v>341182199605120620</v>
      </c>
      <c r="D1008" s="8" t="str">
        <f>"20200303220"</f>
        <v>20200303220</v>
      </c>
      <c r="E1008" s="9">
        <v>42.7</v>
      </c>
      <c r="F1008" s="9">
        <v>72.5</v>
      </c>
      <c r="G1008" s="9">
        <f t="shared" si="15"/>
        <v>115.2</v>
      </c>
      <c r="H1008" s="8"/>
    </row>
    <row r="1009" spans="1:8" ht="22.5" customHeight="1">
      <c r="A1009" s="8" t="s">
        <v>61</v>
      </c>
      <c r="B1009" s="8" t="str">
        <f>"秦青"</f>
        <v>秦青</v>
      </c>
      <c r="C1009" s="8" t="str">
        <f>"341182198811163221"</f>
        <v>341182198811163221</v>
      </c>
      <c r="D1009" s="8" t="str">
        <f>"20200303109"</f>
        <v>20200303109</v>
      </c>
      <c r="E1009" s="9">
        <v>45</v>
      </c>
      <c r="F1009" s="9">
        <v>70</v>
      </c>
      <c r="G1009" s="9">
        <f t="shared" si="15"/>
        <v>115</v>
      </c>
      <c r="H1009" s="8"/>
    </row>
    <row r="1010" spans="1:8" ht="22.5" customHeight="1">
      <c r="A1010" s="8" t="s">
        <v>61</v>
      </c>
      <c r="B1010" s="8" t="str">
        <f>"陈晓凡"</f>
        <v>陈晓凡</v>
      </c>
      <c r="C1010" s="8" t="str">
        <f>"341182199503213025"</f>
        <v>341182199503213025</v>
      </c>
      <c r="D1010" s="8" t="str">
        <f>"20200303425"</f>
        <v>20200303425</v>
      </c>
      <c r="E1010" s="9">
        <v>47.8</v>
      </c>
      <c r="F1010" s="9">
        <v>67</v>
      </c>
      <c r="G1010" s="9">
        <f t="shared" si="15"/>
        <v>114.8</v>
      </c>
      <c r="H1010" s="8"/>
    </row>
    <row r="1011" spans="1:8" ht="22.5" customHeight="1">
      <c r="A1011" s="8" t="s">
        <v>61</v>
      </c>
      <c r="B1011" s="8" t="str">
        <f>"杜传胜"</f>
        <v>杜传胜</v>
      </c>
      <c r="C1011" s="8" t="str">
        <f>"341182199309161030"</f>
        <v>341182199309161030</v>
      </c>
      <c r="D1011" s="8" t="str">
        <f>"20200303318"</f>
        <v>20200303318</v>
      </c>
      <c r="E1011" s="9">
        <v>51.1</v>
      </c>
      <c r="F1011" s="9">
        <v>63</v>
      </c>
      <c r="G1011" s="9">
        <f t="shared" si="15"/>
        <v>114.1</v>
      </c>
      <c r="H1011" s="8"/>
    </row>
    <row r="1012" spans="1:8" ht="22.5" customHeight="1">
      <c r="A1012" s="8" t="s">
        <v>61</v>
      </c>
      <c r="B1012" s="8" t="str">
        <f>"杨若菲"</f>
        <v>杨若菲</v>
      </c>
      <c r="C1012" s="8" t="str">
        <f>"341182198807280222"</f>
        <v>341182198807280222</v>
      </c>
      <c r="D1012" s="8" t="str">
        <f>"20200303326"</f>
        <v>20200303326</v>
      </c>
      <c r="E1012" s="9">
        <v>45.1</v>
      </c>
      <c r="F1012" s="9">
        <v>69</v>
      </c>
      <c r="G1012" s="9">
        <f t="shared" si="15"/>
        <v>114.1</v>
      </c>
      <c r="H1012" s="8"/>
    </row>
    <row r="1013" spans="1:8" ht="22.5" customHeight="1">
      <c r="A1013" s="8" t="s">
        <v>61</v>
      </c>
      <c r="B1013" s="8" t="str">
        <f>"王光阳"</f>
        <v>王光阳</v>
      </c>
      <c r="C1013" s="8" t="str">
        <f>"341182199103136411"</f>
        <v>341182199103136411</v>
      </c>
      <c r="D1013" s="8" t="str">
        <f>"20200302922"</f>
        <v>20200302922</v>
      </c>
      <c r="E1013" s="9">
        <v>46.5</v>
      </c>
      <c r="F1013" s="9">
        <v>67.5</v>
      </c>
      <c r="G1013" s="9">
        <f t="shared" si="15"/>
        <v>114</v>
      </c>
      <c r="H1013" s="8"/>
    </row>
    <row r="1014" spans="1:8" ht="22.5" customHeight="1">
      <c r="A1014" s="8" t="s">
        <v>61</v>
      </c>
      <c r="B1014" s="8" t="str">
        <f>"管红玉"</f>
        <v>管红玉</v>
      </c>
      <c r="C1014" s="8" t="str">
        <f>"321084198703251113"</f>
        <v>321084198703251113</v>
      </c>
      <c r="D1014" s="8" t="str">
        <f>"20200303322"</f>
        <v>20200303322</v>
      </c>
      <c r="E1014" s="9">
        <v>47.3</v>
      </c>
      <c r="F1014" s="9">
        <v>66.5</v>
      </c>
      <c r="G1014" s="9">
        <f t="shared" si="15"/>
        <v>113.8</v>
      </c>
      <c r="H1014" s="8"/>
    </row>
    <row r="1015" spans="1:8" ht="22.5" customHeight="1">
      <c r="A1015" s="8" t="s">
        <v>61</v>
      </c>
      <c r="B1015" s="8" t="str">
        <f>"蔡欢欢"</f>
        <v>蔡欢欢</v>
      </c>
      <c r="C1015" s="8" t="str">
        <f>"341182199303202268"</f>
        <v>341182199303202268</v>
      </c>
      <c r="D1015" s="8" t="str">
        <f>"20200303022"</f>
        <v>20200303022</v>
      </c>
      <c r="E1015" s="9">
        <v>41</v>
      </c>
      <c r="F1015" s="9">
        <v>72</v>
      </c>
      <c r="G1015" s="9">
        <f t="shared" si="15"/>
        <v>113</v>
      </c>
      <c r="H1015" s="8"/>
    </row>
    <row r="1016" spans="1:8" ht="22.5" customHeight="1">
      <c r="A1016" s="8" t="s">
        <v>61</v>
      </c>
      <c r="B1016" s="8" t="str">
        <f>"张盈"</f>
        <v>张盈</v>
      </c>
      <c r="C1016" s="8" t="str">
        <f>"34118219881015004X"</f>
        <v>34118219881015004X</v>
      </c>
      <c r="D1016" s="8" t="str">
        <f>"20200303025"</f>
        <v>20200303025</v>
      </c>
      <c r="E1016" s="9">
        <v>45.9</v>
      </c>
      <c r="F1016" s="9">
        <v>66</v>
      </c>
      <c r="G1016" s="9">
        <f t="shared" si="15"/>
        <v>111.9</v>
      </c>
      <c r="H1016" s="8"/>
    </row>
    <row r="1017" spans="1:8" ht="22.5" customHeight="1">
      <c r="A1017" s="8" t="s">
        <v>61</v>
      </c>
      <c r="B1017" s="8" t="str">
        <f>"陈心雨"</f>
        <v>陈心雨</v>
      </c>
      <c r="C1017" s="8" t="str">
        <f>"341122199507200022"</f>
        <v>341122199507200022</v>
      </c>
      <c r="D1017" s="8" t="str">
        <f>"20200303509"</f>
        <v>20200303509</v>
      </c>
      <c r="E1017" s="9">
        <v>40.7</v>
      </c>
      <c r="F1017" s="9">
        <v>71</v>
      </c>
      <c r="G1017" s="9">
        <f t="shared" si="15"/>
        <v>111.7</v>
      </c>
      <c r="H1017" s="8"/>
    </row>
    <row r="1018" spans="1:8" ht="22.5" customHeight="1">
      <c r="A1018" s="8" t="s">
        <v>61</v>
      </c>
      <c r="B1018" s="8" t="str">
        <f>"陆源"</f>
        <v>陆源</v>
      </c>
      <c r="C1018" s="8" t="str">
        <f>"341182199204152015"</f>
        <v>341182199204152015</v>
      </c>
      <c r="D1018" s="8" t="str">
        <f>"20200303019"</f>
        <v>20200303019</v>
      </c>
      <c r="E1018" s="9">
        <v>43.4</v>
      </c>
      <c r="F1018" s="9">
        <v>67.5</v>
      </c>
      <c r="G1018" s="9">
        <f t="shared" si="15"/>
        <v>110.9</v>
      </c>
      <c r="H1018" s="8"/>
    </row>
    <row r="1019" spans="1:8" ht="22.5" customHeight="1">
      <c r="A1019" s="8" t="s">
        <v>61</v>
      </c>
      <c r="B1019" s="8" t="str">
        <f>"彭楠楠"</f>
        <v>彭楠楠</v>
      </c>
      <c r="C1019" s="8" t="str">
        <f>"340322199503202012"</f>
        <v>340322199503202012</v>
      </c>
      <c r="D1019" s="8" t="str">
        <f>"20200303526"</f>
        <v>20200303526</v>
      </c>
      <c r="E1019" s="9">
        <v>40</v>
      </c>
      <c r="F1019" s="9">
        <v>69</v>
      </c>
      <c r="G1019" s="9">
        <f t="shared" si="15"/>
        <v>109</v>
      </c>
      <c r="H1019" s="8"/>
    </row>
    <row r="1020" spans="1:8" ht="22.5" customHeight="1">
      <c r="A1020" s="8" t="s">
        <v>61</v>
      </c>
      <c r="B1020" s="8" t="str">
        <f>"苏莹莹"</f>
        <v>苏莹莹</v>
      </c>
      <c r="C1020" s="8" t="str">
        <f>"34118219900313542X"</f>
        <v>34118219900313542X</v>
      </c>
      <c r="D1020" s="8" t="str">
        <f>"20200303217"</f>
        <v>20200303217</v>
      </c>
      <c r="E1020" s="9">
        <v>38.8</v>
      </c>
      <c r="F1020" s="9">
        <v>70</v>
      </c>
      <c r="G1020" s="9">
        <f t="shared" si="15"/>
        <v>108.8</v>
      </c>
      <c r="H1020" s="8"/>
    </row>
    <row r="1021" spans="1:8" ht="22.5" customHeight="1">
      <c r="A1021" s="8" t="s">
        <v>61</v>
      </c>
      <c r="B1021" s="8" t="str">
        <f>"姚国艳"</f>
        <v>姚国艳</v>
      </c>
      <c r="C1021" s="8" t="str">
        <f>"341182198905161825"</f>
        <v>341182198905161825</v>
      </c>
      <c r="D1021" s="8" t="str">
        <f>"20200303522"</f>
        <v>20200303522</v>
      </c>
      <c r="E1021" s="9">
        <v>40.2</v>
      </c>
      <c r="F1021" s="9">
        <v>68.5</v>
      </c>
      <c r="G1021" s="9">
        <f t="shared" si="15"/>
        <v>108.7</v>
      </c>
      <c r="H1021" s="8"/>
    </row>
    <row r="1022" spans="1:8" ht="22.5" customHeight="1">
      <c r="A1022" s="8" t="s">
        <v>61</v>
      </c>
      <c r="B1022" s="8" t="str">
        <f>"郁贝贝"</f>
        <v>郁贝贝</v>
      </c>
      <c r="C1022" s="8" t="str">
        <f>"341182199312271812"</f>
        <v>341182199312271812</v>
      </c>
      <c r="D1022" s="8" t="str">
        <f>"20200303507"</f>
        <v>20200303507</v>
      </c>
      <c r="E1022" s="9">
        <v>43.3</v>
      </c>
      <c r="F1022" s="9">
        <v>65</v>
      </c>
      <c r="G1022" s="9">
        <f t="shared" si="15"/>
        <v>108.3</v>
      </c>
      <c r="H1022" s="8"/>
    </row>
    <row r="1023" spans="1:8" ht="22.5" customHeight="1">
      <c r="A1023" s="8" t="s">
        <v>61</v>
      </c>
      <c r="B1023" s="8" t="str">
        <f>"王永言"</f>
        <v>王永言</v>
      </c>
      <c r="C1023" s="8" t="str">
        <f>"340621199108247819"</f>
        <v>340621199108247819</v>
      </c>
      <c r="D1023" s="8" t="str">
        <f>"20200303212"</f>
        <v>20200303212</v>
      </c>
      <c r="E1023" s="9">
        <v>36.8</v>
      </c>
      <c r="F1023" s="9">
        <v>71</v>
      </c>
      <c r="G1023" s="9">
        <f t="shared" si="15"/>
        <v>107.8</v>
      </c>
      <c r="H1023" s="8"/>
    </row>
    <row r="1024" spans="1:8" ht="22.5" customHeight="1">
      <c r="A1024" s="8" t="s">
        <v>61</v>
      </c>
      <c r="B1024" s="8" t="str">
        <f>"陈陈"</f>
        <v>陈陈</v>
      </c>
      <c r="C1024" s="8" t="str">
        <f>"341182199510265827"</f>
        <v>341182199510265827</v>
      </c>
      <c r="D1024" s="8" t="str">
        <f>"20200303012"</f>
        <v>20200303012</v>
      </c>
      <c r="E1024" s="9">
        <v>36.5</v>
      </c>
      <c r="F1024" s="9">
        <v>70.5</v>
      </c>
      <c r="G1024" s="9">
        <f t="shared" si="15"/>
        <v>107</v>
      </c>
      <c r="H1024" s="8"/>
    </row>
    <row r="1025" spans="1:8" ht="22.5" customHeight="1">
      <c r="A1025" s="8" t="s">
        <v>61</v>
      </c>
      <c r="B1025" s="8" t="str">
        <f>"黄美玲"</f>
        <v>黄美玲</v>
      </c>
      <c r="C1025" s="8" t="str">
        <f>"341182198911203024"</f>
        <v>341182198911203024</v>
      </c>
      <c r="D1025" s="8" t="str">
        <f>"20200303430"</f>
        <v>20200303430</v>
      </c>
      <c r="E1025" s="9">
        <v>34.7</v>
      </c>
      <c r="F1025" s="9">
        <v>67.5</v>
      </c>
      <c r="G1025" s="9">
        <f t="shared" si="15"/>
        <v>102.2</v>
      </c>
      <c r="H1025" s="8"/>
    </row>
    <row r="1026" spans="1:8" ht="22.5" customHeight="1">
      <c r="A1026" s="8" t="s">
        <v>61</v>
      </c>
      <c r="B1026" s="8" t="str">
        <f>"高兴林"</f>
        <v>高兴林</v>
      </c>
      <c r="C1026" s="8" t="str">
        <f>"341182199005251619"</f>
        <v>341182199005251619</v>
      </c>
      <c r="D1026" s="8" t="str">
        <f>"20200303421"</f>
        <v>20200303421</v>
      </c>
      <c r="E1026" s="9">
        <v>32.1</v>
      </c>
      <c r="F1026" s="9">
        <v>68.5</v>
      </c>
      <c r="G1026" s="9">
        <f t="shared" si="15"/>
        <v>100.6</v>
      </c>
      <c r="H1026" s="8"/>
    </row>
    <row r="1027" spans="1:8" ht="22.5" customHeight="1">
      <c r="A1027" s="8" t="s">
        <v>61</v>
      </c>
      <c r="B1027" s="8" t="str">
        <f>"周玉奇"</f>
        <v>周玉奇</v>
      </c>
      <c r="C1027" s="8" t="str">
        <f>"341182199402143814"</f>
        <v>341182199402143814</v>
      </c>
      <c r="D1027" s="8" t="str">
        <f>"20200303320"</f>
        <v>20200303320</v>
      </c>
      <c r="E1027" s="9">
        <v>31.8</v>
      </c>
      <c r="F1027" s="9">
        <v>68.5</v>
      </c>
      <c r="G1027" s="9">
        <f aca="true" t="shared" si="16" ref="G1027:G1090">E1027+F1027</f>
        <v>100.3</v>
      </c>
      <c r="H1027" s="8"/>
    </row>
    <row r="1028" spans="1:8" ht="22.5" customHeight="1">
      <c r="A1028" s="8" t="s">
        <v>61</v>
      </c>
      <c r="B1028" s="8" t="str">
        <f>"吴显文"</f>
        <v>吴显文</v>
      </c>
      <c r="C1028" s="8" t="str">
        <f>"341127199302035432"</f>
        <v>341127199302035432</v>
      </c>
      <c r="D1028" s="8" t="str">
        <f>"20200303408"</f>
        <v>20200303408</v>
      </c>
      <c r="E1028" s="9">
        <v>47.4</v>
      </c>
      <c r="F1028" s="9">
        <v>45</v>
      </c>
      <c r="G1028" s="9">
        <f t="shared" si="16"/>
        <v>92.4</v>
      </c>
      <c r="H1028" s="8"/>
    </row>
    <row r="1029" spans="1:8" ht="22.5" customHeight="1">
      <c r="A1029" s="8" t="s">
        <v>61</v>
      </c>
      <c r="B1029" s="8" t="str">
        <f>"纪业雨"</f>
        <v>纪业雨</v>
      </c>
      <c r="C1029" s="8" t="str">
        <f>"341182199505133619"</f>
        <v>341182199505133619</v>
      </c>
      <c r="D1029" s="8" t="str">
        <f>"20200302923"</f>
        <v>20200302923</v>
      </c>
      <c r="E1029" s="9">
        <v>0</v>
      </c>
      <c r="F1029" s="9">
        <v>0</v>
      </c>
      <c r="G1029" s="9">
        <f t="shared" si="16"/>
        <v>0</v>
      </c>
      <c r="H1029" s="8" t="s">
        <v>10</v>
      </c>
    </row>
    <row r="1030" spans="1:8" ht="22.5" customHeight="1">
      <c r="A1030" s="8" t="s">
        <v>61</v>
      </c>
      <c r="B1030" s="8" t="str">
        <f>"方宇"</f>
        <v>方宇</v>
      </c>
      <c r="C1030" s="8" t="str">
        <f>"34110219951110023X"</f>
        <v>34110219951110023X</v>
      </c>
      <c r="D1030" s="8" t="str">
        <f>"20200302926"</f>
        <v>20200302926</v>
      </c>
      <c r="E1030" s="9">
        <v>0</v>
      </c>
      <c r="F1030" s="9">
        <v>0</v>
      </c>
      <c r="G1030" s="9">
        <f t="shared" si="16"/>
        <v>0</v>
      </c>
      <c r="H1030" s="8" t="s">
        <v>10</v>
      </c>
    </row>
    <row r="1031" spans="1:8" ht="22.5" customHeight="1">
      <c r="A1031" s="8" t="s">
        <v>61</v>
      </c>
      <c r="B1031" s="8" t="str">
        <f>"沈阳"</f>
        <v>沈阳</v>
      </c>
      <c r="C1031" s="8" t="str">
        <f>"341125199302080919"</f>
        <v>341125199302080919</v>
      </c>
      <c r="D1031" s="8" t="str">
        <f>"20200302929"</f>
        <v>20200302929</v>
      </c>
      <c r="E1031" s="9">
        <v>0</v>
      </c>
      <c r="F1031" s="9">
        <v>0</v>
      </c>
      <c r="G1031" s="9">
        <f t="shared" si="16"/>
        <v>0</v>
      </c>
      <c r="H1031" s="8" t="s">
        <v>10</v>
      </c>
    </row>
    <row r="1032" spans="1:8" ht="22.5" customHeight="1">
      <c r="A1032" s="8" t="s">
        <v>61</v>
      </c>
      <c r="B1032" s="8" t="str">
        <f>"熊婷"</f>
        <v>熊婷</v>
      </c>
      <c r="C1032" s="8" t="str">
        <f>"360122199408180620"</f>
        <v>360122199408180620</v>
      </c>
      <c r="D1032" s="8" t="str">
        <f>"20200303013"</f>
        <v>20200303013</v>
      </c>
      <c r="E1032" s="9">
        <v>0</v>
      </c>
      <c r="F1032" s="9">
        <v>0</v>
      </c>
      <c r="G1032" s="9">
        <f t="shared" si="16"/>
        <v>0</v>
      </c>
      <c r="H1032" s="8" t="s">
        <v>10</v>
      </c>
    </row>
    <row r="1033" spans="1:8" ht="22.5" customHeight="1">
      <c r="A1033" s="8" t="s">
        <v>61</v>
      </c>
      <c r="B1033" s="8" t="str">
        <f>"纪其跃"</f>
        <v>纪其跃</v>
      </c>
      <c r="C1033" s="8" t="str">
        <f>"341182198812203635"</f>
        <v>341182198812203635</v>
      </c>
      <c r="D1033" s="8" t="str">
        <f>"20200303017"</f>
        <v>20200303017</v>
      </c>
      <c r="E1033" s="9">
        <v>0</v>
      </c>
      <c r="F1033" s="9">
        <v>0</v>
      </c>
      <c r="G1033" s="9">
        <f t="shared" si="16"/>
        <v>0</v>
      </c>
      <c r="H1033" s="8" t="s">
        <v>10</v>
      </c>
    </row>
    <row r="1034" spans="1:8" ht="22.5" customHeight="1">
      <c r="A1034" s="8" t="s">
        <v>61</v>
      </c>
      <c r="B1034" s="8" t="str">
        <f>"孙雅静"</f>
        <v>孙雅静</v>
      </c>
      <c r="C1034" s="8" t="str">
        <f>"341124199103240223"</f>
        <v>341124199103240223</v>
      </c>
      <c r="D1034" s="8" t="str">
        <f>"20200303021"</f>
        <v>20200303021</v>
      </c>
      <c r="E1034" s="9">
        <v>0</v>
      </c>
      <c r="F1034" s="9">
        <v>0</v>
      </c>
      <c r="G1034" s="9">
        <f t="shared" si="16"/>
        <v>0</v>
      </c>
      <c r="H1034" s="8" t="s">
        <v>10</v>
      </c>
    </row>
    <row r="1035" spans="1:8" ht="22.5" customHeight="1">
      <c r="A1035" s="8" t="s">
        <v>61</v>
      </c>
      <c r="B1035" s="8" t="str">
        <f>"夏少飞"</f>
        <v>夏少飞</v>
      </c>
      <c r="C1035" s="8" t="str">
        <f>"341103198903133817"</f>
        <v>341103198903133817</v>
      </c>
      <c r="D1035" s="8" t="str">
        <f>"20200303028"</f>
        <v>20200303028</v>
      </c>
      <c r="E1035" s="9">
        <v>0</v>
      </c>
      <c r="F1035" s="9">
        <v>0</v>
      </c>
      <c r="G1035" s="9">
        <f t="shared" si="16"/>
        <v>0</v>
      </c>
      <c r="H1035" s="8" t="s">
        <v>10</v>
      </c>
    </row>
    <row r="1036" spans="1:8" ht="22.5" customHeight="1">
      <c r="A1036" s="8" t="s">
        <v>61</v>
      </c>
      <c r="B1036" s="8" t="str">
        <f>"杨婷"</f>
        <v>杨婷</v>
      </c>
      <c r="C1036" s="8" t="str">
        <f>"530427199005020024"</f>
        <v>530427199005020024</v>
      </c>
      <c r="D1036" s="8" t="str">
        <f>"20200303120"</f>
        <v>20200303120</v>
      </c>
      <c r="E1036" s="9">
        <v>0</v>
      </c>
      <c r="F1036" s="9">
        <v>0</v>
      </c>
      <c r="G1036" s="9">
        <f t="shared" si="16"/>
        <v>0</v>
      </c>
      <c r="H1036" s="8" t="s">
        <v>10</v>
      </c>
    </row>
    <row r="1037" spans="1:8" ht="22.5" customHeight="1">
      <c r="A1037" s="8" t="s">
        <v>61</v>
      </c>
      <c r="B1037" s="8" t="str">
        <f>"张波"</f>
        <v>张波</v>
      </c>
      <c r="C1037" s="8" t="str">
        <f>"320722199001053633"</f>
        <v>320722199001053633</v>
      </c>
      <c r="D1037" s="8" t="str">
        <f>"20200303209"</f>
        <v>20200303209</v>
      </c>
      <c r="E1037" s="9">
        <v>0</v>
      </c>
      <c r="F1037" s="9">
        <v>0</v>
      </c>
      <c r="G1037" s="9">
        <f t="shared" si="16"/>
        <v>0</v>
      </c>
      <c r="H1037" s="8" t="s">
        <v>10</v>
      </c>
    </row>
    <row r="1038" spans="1:8" ht="22.5" customHeight="1">
      <c r="A1038" s="8" t="s">
        <v>61</v>
      </c>
      <c r="B1038" s="8" t="str">
        <f>"吴劲康"</f>
        <v>吴劲康</v>
      </c>
      <c r="C1038" s="8" t="str">
        <f>"320830199309220034"</f>
        <v>320830199309220034</v>
      </c>
      <c r="D1038" s="8" t="str">
        <f>"20200303218"</f>
        <v>20200303218</v>
      </c>
      <c r="E1038" s="9">
        <v>0</v>
      </c>
      <c r="F1038" s="9">
        <v>0</v>
      </c>
      <c r="G1038" s="9">
        <f t="shared" si="16"/>
        <v>0</v>
      </c>
      <c r="H1038" s="8" t="s">
        <v>10</v>
      </c>
    </row>
    <row r="1039" spans="1:8" ht="22.5" customHeight="1">
      <c r="A1039" s="8" t="s">
        <v>61</v>
      </c>
      <c r="B1039" s="8" t="str">
        <f>"秦雅慧"</f>
        <v>秦雅慧</v>
      </c>
      <c r="C1039" s="8" t="str">
        <f>"34112719940810482X"</f>
        <v>34112719940810482X</v>
      </c>
      <c r="D1039" s="8" t="str">
        <f>"20200303219"</f>
        <v>20200303219</v>
      </c>
      <c r="E1039" s="9">
        <v>0</v>
      </c>
      <c r="F1039" s="9">
        <v>0</v>
      </c>
      <c r="G1039" s="9">
        <f t="shared" si="16"/>
        <v>0</v>
      </c>
      <c r="H1039" s="8" t="s">
        <v>10</v>
      </c>
    </row>
    <row r="1040" spans="1:8" ht="22.5" customHeight="1">
      <c r="A1040" s="8" t="s">
        <v>61</v>
      </c>
      <c r="B1040" s="8" t="str">
        <f>"程天淇"</f>
        <v>程天淇</v>
      </c>
      <c r="C1040" s="8" t="str">
        <f>"341182199112010423"</f>
        <v>341182199112010423</v>
      </c>
      <c r="D1040" s="8" t="str">
        <f>"20200303221"</f>
        <v>20200303221</v>
      </c>
      <c r="E1040" s="9">
        <v>0</v>
      </c>
      <c r="F1040" s="9">
        <v>0</v>
      </c>
      <c r="G1040" s="9">
        <f t="shared" si="16"/>
        <v>0</v>
      </c>
      <c r="H1040" s="8" t="s">
        <v>10</v>
      </c>
    </row>
    <row r="1041" spans="1:8" ht="22.5" customHeight="1">
      <c r="A1041" s="8" t="s">
        <v>61</v>
      </c>
      <c r="B1041" s="8" t="str">
        <f>"余唱"</f>
        <v>余唱</v>
      </c>
      <c r="C1041" s="8" t="str">
        <f>"341122199106290223"</f>
        <v>341122199106290223</v>
      </c>
      <c r="D1041" s="8" t="str">
        <f>"20200303301"</f>
        <v>20200303301</v>
      </c>
      <c r="E1041" s="9">
        <v>0</v>
      </c>
      <c r="F1041" s="9">
        <v>0</v>
      </c>
      <c r="G1041" s="9">
        <f t="shared" si="16"/>
        <v>0</v>
      </c>
      <c r="H1041" s="8" t="s">
        <v>10</v>
      </c>
    </row>
    <row r="1042" spans="1:8" ht="22.5" customHeight="1">
      <c r="A1042" s="8" t="s">
        <v>61</v>
      </c>
      <c r="B1042" s="8" t="str">
        <f>"金鑫"</f>
        <v>金鑫</v>
      </c>
      <c r="C1042" s="8" t="str">
        <f>"341102199104070416"</f>
        <v>341102199104070416</v>
      </c>
      <c r="D1042" s="8" t="str">
        <f>"20200303306"</f>
        <v>20200303306</v>
      </c>
      <c r="E1042" s="9">
        <v>0</v>
      </c>
      <c r="F1042" s="9">
        <v>0</v>
      </c>
      <c r="G1042" s="9">
        <f t="shared" si="16"/>
        <v>0</v>
      </c>
      <c r="H1042" s="8" t="s">
        <v>10</v>
      </c>
    </row>
    <row r="1043" spans="1:8" ht="22.5" customHeight="1">
      <c r="A1043" s="8" t="s">
        <v>61</v>
      </c>
      <c r="B1043" s="8" t="str">
        <f>"周云"</f>
        <v>周云</v>
      </c>
      <c r="C1043" s="8" t="str">
        <f>"321023198808056848"</f>
        <v>321023198808056848</v>
      </c>
      <c r="D1043" s="8" t="str">
        <f>"20200303307"</f>
        <v>20200303307</v>
      </c>
      <c r="E1043" s="9">
        <v>0</v>
      </c>
      <c r="F1043" s="9">
        <v>0</v>
      </c>
      <c r="G1043" s="9">
        <f t="shared" si="16"/>
        <v>0</v>
      </c>
      <c r="H1043" s="8" t="s">
        <v>10</v>
      </c>
    </row>
    <row r="1044" spans="1:8" ht="22.5" customHeight="1">
      <c r="A1044" s="8" t="s">
        <v>61</v>
      </c>
      <c r="B1044" s="8" t="str">
        <f>"陆宏喜"</f>
        <v>陆宏喜</v>
      </c>
      <c r="C1044" s="8" t="str">
        <f>"341181199210282012"</f>
        <v>341181199210282012</v>
      </c>
      <c r="D1044" s="8" t="str">
        <f>"20200303315"</f>
        <v>20200303315</v>
      </c>
      <c r="E1044" s="9">
        <v>0</v>
      </c>
      <c r="F1044" s="9">
        <v>0</v>
      </c>
      <c r="G1044" s="9">
        <f t="shared" si="16"/>
        <v>0</v>
      </c>
      <c r="H1044" s="8" t="s">
        <v>10</v>
      </c>
    </row>
    <row r="1045" spans="1:8" ht="22.5" customHeight="1">
      <c r="A1045" s="8" t="s">
        <v>61</v>
      </c>
      <c r="B1045" s="8" t="str">
        <f>"周文慧"</f>
        <v>周文慧</v>
      </c>
      <c r="C1045" s="8" t="str">
        <f>"341182198809182482"</f>
        <v>341182198809182482</v>
      </c>
      <c r="D1045" s="8" t="str">
        <f>"20200303323"</f>
        <v>20200303323</v>
      </c>
      <c r="E1045" s="9">
        <v>0</v>
      </c>
      <c r="F1045" s="9">
        <v>0</v>
      </c>
      <c r="G1045" s="9">
        <f t="shared" si="16"/>
        <v>0</v>
      </c>
      <c r="H1045" s="8" t="s">
        <v>10</v>
      </c>
    </row>
    <row r="1046" spans="1:8" ht="22.5" customHeight="1">
      <c r="A1046" s="8" t="s">
        <v>61</v>
      </c>
      <c r="B1046" s="8" t="str">
        <f>"李静"</f>
        <v>李静</v>
      </c>
      <c r="C1046" s="8" t="str">
        <f>"320830199711020428"</f>
        <v>320830199711020428</v>
      </c>
      <c r="D1046" s="8" t="str">
        <f>"20200303328"</f>
        <v>20200303328</v>
      </c>
      <c r="E1046" s="9">
        <v>0</v>
      </c>
      <c r="F1046" s="9">
        <v>0</v>
      </c>
      <c r="G1046" s="9">
        <f t="shared" si="16"/>
        <v>0</v>
      </c>
      <c r="H1046" s="8" t="s">
        <v>10</v>
      </c>
    </row>
    <row r="1047" spans="1:8" ht="22.5" customHeight="1">
      <c r="A1047" s="8" t="s">
        <v>61</v>
      </c>
      <c r="B1047" s="8" t="str">
        <f>"王丽嫚"</f>
        <v>王丽嫚</v>
      </c>
      <c r="C1047" s="8" t="str">
        <f>"341182198803110648"</f>
        <v>341182198803110648</v>
      </c>
      <c r="D1047" s="8" t="str">
        <f>"20200303404"</f>
        <v>20200303404</v>
      </c>
      <c r="E1047" s="9">
        <v>0</v>
      </c>
      <c r="F1047" s="9">
        <v>0</v>
      </c>
      <c r="G1047" s="9">
        <f t="shared" si="16"/>
        <v>0</v>
      </c>
      <c r="H1047" s="8" t="s">
        <v>10</v>
      </c>
    </row>
    <row r="1048" spans="1:8" ht="22.5" customHeight="1">
      <c r="A1048" s="8" t="s">
        <v>61</v>
      </c>
      <c r="B1048" s="8" t="str">
        <f>"王辛欢"</f>
        <v>王辛欢</v>
      </c>
      <c r="C1048" s="8" t="str">
        <f>"341182198908240211"</f>
        <v>341182198908240211</v>
      </c>
      <c r="D1048" s="8" t="str">
        <f>"20200303418"</f>
        <v>20200303418</v>
      </c>
      <c r="E1048" s="9">
        <v>0</v>
      </c>
      <c r="F1048" s="9">
        <v>0</v>
      </c>
      <c r="G1048" s="9">
        <f t="shared" si="16"/>
        <v>0</v>
      </c>
      <c r="H1048" s="8" t="s">
        <v>10</v>
      </c>
    </row>
    <row r="1049" spans="1:8" ht="22.5" customHeight="1">
      <c r="A1049" s="8" t="s">
        <v>61</v>
      </c>
      <c r="B1049" s="8" t="str">
        <f>"卢梦"</f>
        <v>卢梦</v>
      </c>
      <c r="C1049" s="8" t="str">
        <f>"341182199512201624"</f>
        <v>341182199512201624</v>
      </c>
      <c r="D1049" s="8" t="str">
        <f>"20200303419"</f>
        <v>20200303419</v>
      </c>
      <c r="E1049" s="9">
        <v>0</v>
      </c>
      <c r="F1049" s="9">
        <v>0</v>
      </c>
      <c r="G1049" s="9">
        <f t="shared" si="16"/>
        <v>0</v>
      </c>
      <c r="H1049" s="8" t="s">
        <v>10</v>
      </c>
    </row>
    <row r="1050" spans="1:8" ht="22.5" customHeight="1">
      <c r="A1050" s="8" t="s">
        <v>61</v>
      </c>
      <c r="B1050" s="8" t="str">
        <f>"张婷婷"</f>
        <v>张婷婷</v>
      </c>
      <c r="C1050" s="8" t="str">
        <f>"341181199305111822"</f>
        <v>341181199305111822</v>
      </c>
      <c r="D1050" s="8" t="str">
        <f>"20200303420"</f>
        <v>20200303420</v>
      </c>
      <c r="E1050" s="9">
        <v>0</v>
      </c>
      <c r="F1050" s="9">
        <v>0</v>
      </c>
      <c r="G1050" s="9">
        <f t="shared" si="16"/>
        <v>0</v>
      </c>
      <c r="H1050" s="8" t="s">
        <v>10</v>
      </c>
    </row>
    <row r="1051" spans="1:8" ht="22.5" customHeight="1">
      <c r="A1051" s="8" t="s">
        <v>61</v>
      </c>
      <c r="B1051" s="8" t="str">
        <f>"李华杰"</f>
        <v>李华杰</v>
      </c>
      <c r="C1051" s="8" t="str">
        <f>"341122199706265216"</f>
        <v>341122199706265216</v>
      </c>
      <c r="D1051" s="8" t="str">
        <f>"20200303501"</f>
        <v>20200303501</v>
      </c>
      <c r="E1051" s="9">
        <v>0</v>
      </c>
      <c r="F1051" s="9">
        <v>0</v>
      </c>
      <c r="G1051" s="9">
        <f t="shared" si="16"/>
        <v>0</v>
      </c>
      <c r="H1051" s="8" t="s">
        <v>10</v>
      </c>
    </row>
    <row r="1052" spans="1:8" ht="22.5" customHeight="1">
      <c r="A1052" s="8" t="s">
        <v>61</v>
      </c>
      <c r="B1052" s="8" t="str">
        <f>"冯帆"</f>
        <v>冯帆</v>
      </c>
      <c r="C1052" s="8" t="str">
        <f>"341182199206110011"</f>
        <v>341182199206110011</v>
      </c>
      <c r="D1052" s="8" t="str">
        <f>"20200303502"</f>
        <v>20200303502</v>
      </c>
      <c r="E1052" s="9">
        <v>0</v>
      </c>
      <c r="F1052" s="9">
        <v>0</v>
      </c>
      <c r="G1052" s="9">
        <f t="shared" si="16"/>
        <v>0</v>
      </c>
      <c r="H1052" s="8" t="s">
        <v>10</v>
      </c>
    </row>
    <row r="1053" spans="1:8" ht="22.5" customHeight="1">
      <c r="A1053" s="8" t="s">
        <v>61</v>
      </c>
      <c r="B1053" s="8" t="str">
        <f>"苗雨"</f>
        <v>苗雨</v>
      </c>
      <c r="C1053" s="8" t="str">
        <f>"34118219940806261X"</f>
        <v>34118219940806261X</v>
      </c>
      <c r="D1053" s="8" t="str">
        <f>"20200303504"</f>
        <v>20200303504</v>
      </c>
      <c r="E1053" s="9">
        <v>0</v>
      </c>
      <c r="F1053" s="9">
        <v>0</v>
      </c>
      <c r="G1053" s="9">
        <f t="shared" si="16"/>
        <v>0</v>
      </c>
      <c r="H1053" s="8" t="s">
        <v>10</v>
      </c>
    </row>
    <row r="1054" spans="1:8" ht="22.5" customHeight="1">
      <c r="A1054" s="8" t="s">
        <v>61</v>
      </c>
      <c r="B1054" s="8" t="str">
        <f>"彭祥亮"</f>
        <v>彭祥亮</v>
      </c>
      <c r="C1054" s="8" t="str">
        <f>"340824199111223412"</f>
        <v>340824199111223412</v>
      </c>
      <c r="D1054" s="8" t="str">
        <f>"20200303514"</f>
        <v>20200303514</v>
      </c>
      <c r="E1054" s="9">
        <v>0</v>
      </c>
      <c r="F1054" s="9">
        <v>0</v>
      </c>
      <c r="G1054" s="9">
        <f t="shared" si="16"/>
        <v>0</v>
      </c>
      <c r="H1054" s="8" t="s">
        <v>10</v>
      </c>
    </row>
    <row r="1055" spans="1:8" ht="22.5" customHeight="1">
      <c r="A1055" s="8" t="s">
        <v>61</v>
      </c>
      <c r="B1055" s="8" t="str">
        <f>"相奇丽"</f>
        <v>相奇丽</v>
      </c>
      <c r="C1055" s="8" t="str">
        <f>"341102198803211041"</f>
        <v>341102198803211041</v>
      </c>
      <c r="D1055" s="8" t="str">
        <f>"20200303518"</f>
        <v>20200303518</v>
      </c>
      <c r="E1055" s="9">
        <v>0</v>
      </c>
      <c r="F1055" s="9">
        <v>0</v>
      </c>
      <c r="G1055" s="9">
        <f t="shared" si="16"/>
        <v>0</v>
      </c>
      <c r="H1055" s="8" t="s">
        <v>10</v>
      </c>
    </row>
    <row r="1056" spans="1:8" ht="22.5" customHeight="1">
      <c r="A1056" s="8" t="s">
        <v>61</v>
      </c>
      <c r="B1056" s="8" t="str">
        <f>"陈宇"</f>
        <v>陈宇</v>
      </c>
      <c r="C1056" s="8" t="str">
        <f>"341124199306131019"</f>
        <v>341124199306131019</v>
      </c>
      <c r="D1056" s="8" t="str">
        <f>"20200303520"</f>
        <v>20200303520</v>
      </c>
      <c r="E1056" s="9">
        <v>0</v>
      </c>
      <c r="F1056" s="9">
        <v>0</v>
      </c>
      <c r="G1056" s="9">
        <f t="shared" si="16"/>
        <v>0</v>
      </c>
      <c r="H1056" s="8" t="s">
        <v>10</v>
      </c>
    </row>
    <row r="1057" spans="1:8" ht="22.5" customHeight="1">
      <c r="A1057" s="8" t="s">
        <v>61</v>
      </c>
      <c r="B1057" s="8" t="str">
        <f>"吴晓玉"</f>
        <v>吴晓玉</v>
      </c>
      <c r="C1057" s="8" t="str">
        <f>"341182199403066224"</f>
        <v>341182199403066224</v>
      </c>
      <c r="D1057" s="8" t="str">
        <f>"20200303530"</f>
        <v>20200303530</v>
      </c>
      <c r="E1057" s="9">
        <v>0</v>
      </c>
      <c r="F1057" s="9">
        <v>0</v>
      </c>
      <c r="G1057" s="9">
        <f t="shared" si="16"/>
        <v>0</v>
      </c>
      <c r="H1057" s="8" t="s">
        <v>10</v>
      </c>
    </row>
    <row r="1058" spans="1:8" ht="22.5" customHeight="1">
      <c r="A1058" s="8" t="s">
        <v>61</v>
      </c>
      <c r="B1058" s="8" t="str">
        <f>"刘梦蝶"</f>
        <v>刘梦蝶</v>
      </c>
      <c r="C1058" s="8" t="str">
        <f>"341182199405144708"</f>
        <v>341182199405144708</v>
      </c>
      <c r="D1058" s="8" t="str">
        <f>"20200303601"</f>
        <v>20200303601</v>
      </c>
      <c r="E1058" s="9">
        <v>0</v>
      </c>
      <c r="F1058" s="9">
        <v>0</v>
      </c>
      <c r="G1058" s="9">
        <f t="shared" si="16"/>
        <v>0</v>
      </c>
      <c r="H1058" s="8" t="s">
        <v>10</v>
      </c>
    </row>
    <row r="1059" spans="1:8" ht="22.5" customHeight="1">
      <c r="A1059" s="8" t="s">
        <v>61</v>
      </c>
      <c r="B1059" s="8" t="str">
        <f>"郭旋"</f>
        <v>郭旋</v>
      </c>
      <c r="C1059" s="8" t="str">
        <f>"341122198904140452"</f>
        <v>341122198904140452</v>
      </c>
      <c r="D1059" s="8" t="str">
        <f>"20200303603"</f>
        <v>20200303603</v>
      </c>
      <c r="E1059" s="9">
        <v>0</v>
      </c>
      <c r="F1059" s="9">
        <v>0</v>
      </c>
      <c r="G1059" s="9">
        <f t="shared" si="16"/>
        <v>0</v>
      </c>
      <c r="H1059" s="8" t="s">
        <v>10</v>
      </c>
    </row>
    <row r="1060" spans="1:8" ht="22.5" customHeight="1">
      <c r="A1060" s="8" t="s">
        <v>62</v>
      </c>
      <c r="B1060" s="8" t="str">
        <f>"刘学"</f>
        <v>刘学</v>
      </c>
      <c r="C1060" s="8" t="str">
        <f>"341126198705176036"</f>
        <v>341126198705176036</v>
      </c>
      <c r="D1060" s="8" t="str">
        <f>"20200303608"</f>
        <v>20200303608</v>
      </c>
      <c r="E1060" s="9">
        <v>49.2</v>
      </c>
      <c r="F1060" s="9">
        <v>75.5</v>
      </c>
      <c r="G1060" s="9">
        <f t="shared" si="16"/>
        <v>124.7</v>
      </c>
      <c r="H1060" s="8"/>
    </row>
    <row r="1061" spans="1:8" ht="22.5" customHeight="1">
      <c r="A1061" s="8" t="s">
        <v>62</v>
      </c>
      <c r="B1061" s="8" t="str">
        <f>"朱露露"</f>
        <v>朱露露</v>
      </c>
      <c r="C1061" s="8" t="str">
        <f>"341182198809270220"</f>
        <v>341182198809270220</v>
      </c>
      <c r="D1061" s="8" t="str">
        <f>"20200303609"</f>
        <v>20200303609</v>
      </c>
      <c r="E1061" s="9">
        <v>54</v>
      </c>
      <c r="F1061" s="9">
        <v>70</v>
      </c>
      <c r="G1061" s="9">
        <f t="shared" si="16"/>
        <v>124</v>
      </c>
      <c r="H1061" s="8"/>
    </row>
    <row r="1062" spans="1:8" ht="22.5" customHeight="1">
      <c r="A1062" s="8" t="s">
        <v>62</v>
      </c>
      <c r="B1062" s="8" t="str">
        <f>"戴玲玲"</f>
        <v>戴玲玲</v>
      </c>
      <c r="C1062" s="8" t="str">
        <f>"341125199410200383"</f>
        <v>341125199410200383</v>
      </c>
      <c r="D1062" s="8" t="str">
        <f>"20200303610"</f>
        <v>20200303610</v>
      </c>
      <c r="E1062" s="9">
        <v>0</v>
      </c>
      <c r="F1062" s="9">
        <v>0</v>
      </c>
      <c r="G1062" s="9">
        <f t="shared" si="16"/>
        <v>0</v>
      </c>
      <c r="H1062" s="8" t="s">
        <v>10</v>
      </c>
    </row>
    <row r="1063" spans="1:8" ht="22.5" customHeight="1">
      <c r="A1063" s="8" t="s">
        <v>63</v>
      </c>
      <c r="B1063" s="8" t="str">
        <f>"岳文静"</f>
        <v>岳文静</v>
      </c>
      <c r="C1063" s="8" t="str">
        <f>"341125199707148125"</f>
        <v>341125199707148125</v>
      </c>
      <c r="D1063" s="8" t="str">
        <f>"20200303620"</f>
        <v>20200303620</v>
      </c>
      <c r="E1063" s="9">
        <v>57.7</v>
      </c>
      <c r="F1063" s="9">
        <v>76.5</v>
      </c>
      <c r="G1063" s="9">
        <f t="shared" si="16"/>
        <v>134.2</v>
      </c>
      <c r="H1063" s="8"/>
    </row>
    <row r="1064" spans="1:8" ht="22.5" customHeight="1">
      <c r="A1064" s="8" t="s">
        <v>63</v>
      </c>
      <c r="B1064" s="8" t="str">
        <f>"崔英杰"</f>
        <v>崔英杰</v>
      </c>
      <c r="C1064" s="8" t="str">
        <f>"34118219970113001X"</f>
        <v>34118219970113001X</v>
      </c>
      <c r="D1064" s="8" t="str">
        <f>"20200303625"</f>
        <v>20200303625</v>
      </c>
      <c r="E1064" s="9">
        <v>61.5</v>
      </c>
      <c r="F1064" s="9">
        <v>72.5</v>
      </c>
      <c r="G1064" s="9">
        <f t="shared" si="16"/>
        <v>134</v>
      </c>
      <c r="H1064" s="8"/>
    </row>
    <row r="1065" spans="1:8" ht="22.5" customHeight="1">
      <c r="A1065" s="8" t="s">
        <v>63</v>
      </c>
      <c r="B1065" s="8" t="str">
        <f>"刘思雨"</f>
        <v>刘思雨</v>
      </c>
      <c r="C1065" s="8" t="str">
        <f>"341182199710153248"</f>
        <v>341182199710153248</v>
      </c>
      <c r="D1065" s="8" t="str">
        <f>"20200303616"</f>
        <v>20200303616</v>
      </c>
      <c r="E1065" s="9">
        <v>60.4</v>
      </c>
      <c r="F1065" s="9">
        <v>72.5</v>
      </c>
      <c r="G1065" s="9">
        <f t="shared" si="16"/>
        <v>132.9</v>
      </c>
      <c r="H1065" s="8"/>
    </row>
    <row r="1066" spans="1:8" ht="22.5" customHeight="1">
      <c r="A1066" s="8" t="s">
        <v>63</v>
      </c>
      <c r="B1066" s="8" t="str">
        <f>"熊欣"</f>
        <v>熊欣</v>
      </c>
      <c r="C1066" s="8" t="str">
        <f>"341182199807162626"</f>
        <v>341182199807162626</v>
      </c>
      <c r="D1066" s="8" t="str">
        <f>"20200303622"</f>
        <v>20200303622</v>
      </c>
      <c r="E1066" s="9">
        <v>55.6</v>
      </c>
      <c r="F1066" s="9">
        <v>76</v>
      </c>
      <c r="G1066" s="9">
        <f t="shared" si="16"/>
        <v>131.6</v>
      </c>
      <c r="H1066" s="8"/>
    </row>
    <row r="1067" spans="1:8" ht="22.5" customHeight="1">
      <c r="A1067" s="8" t="s">
        <v>63</v>
      </c>
      <c r="B1067" s="8" t="str">
        <f>"张闻"</f>
        <v>张闻</v>
      </c>
      <c r="C1067" s="8" t="str">
        <f>"341182199802030624"</f>
        <v>341182199802030624</v>
      </c>
      <c r="D1067" s="8" t="str">
        <f>"20200303619"</f>
        <v>20200303619</v>
      </c>
      <c r="E1067" s="9">
        <v>54.9</v>
      </c>
      <c r="F1067" s="9">
        <v>73</v>
      </c>
      <c r="G1067" s="9">
        <f t="shared" si="16"/>
        <v>127.9</v>
      </c>
      <c r="H1067" s="8"/>
    </row>
    <row r="1068" spans="1:8" ht="22.5" customHeight="1">
      <c r="A1068" s="8" t="s">
        <v>63</v>
      </c>
      <c r="B1068" s="8" t="str">
        <f>"高刚"</f>
        <v>高刚</v>
      </c>
      <c r="C1068" s="8" t="str">
        <f>"341125199709250916"</f>
        <v>341125199709250916</v>
      </c>
      <c r="D1068" s="8" t="str">
        <f>"20200303618"</f>
        <v>20200303618</v>
      </c>
      <c r="E1068" s="9">
        <v>59.1</v>
      </c>
      <c r="F1068" s="9">
        <v>68.5</v>
      </c>
      <c r="G1068" s="9">
        <f t="shared" si="16"/>
        <v>127.6</v>
      </c>
      <c r="H1068" s="8"/>
    </row>
    <row r="1069" spans="1:8" ht="22.5" customHeight="1">
      <c r="A1069" s="8" t="s">
        <v>63</v>
      </c>
      <c r="B1069" s="8" t="str">
        <f>"陈晨"</f>
        <v>陈晨</v>
      </c>
      <c r="C1069" s="8" t="str">
        <f>"341182199504052446"</f>
        <v>341182199504052446</v>
      </c>
      <c r="D1069" s="8" t="str">
        <f>"20200303615"</f>
        <v>20200303615</v>
      </c>
      <c r="E1069" s="9">
        <v>51.2</v>
      </c>
      <c r="F1069" s="9">
        <v>74</v>
      </c>
      <c r="G1069" s="9">
        <f t="shared" si="16"/>
        <v>125.2</v>
      </c>
      <c r="H1069" s="8"/>
    </row>
    <row r="1070" spans="1:8" ht="22.5" customHeight="1">
      <c r="A1070" s="8" t="s">
        <v>63</v>
      </c>
      <c r="B1070" s="8" t="str">
        <f>"朱燕"</f>
        <v>朱燕</v>
      </c>
      <c r="C1070" s="8" t="str">
        <f>"34118219971228222X"</f>
        <v>34118219971228222X</v>
      </c>
      <c r="D1070" s="8" t="str">
        <f>"20200303623"</f>
        <v>20200303623</v>
      </c>
      <c r="E1070" s="9">
        <v>52.7</v>
      </c>
      <c r="F1070" s="9">
        <v>72</v>
      </c>
      <c r="G1070" s="9">
        <f t="shared" si="16"/>
        <v>124.7</v>
      </c>
      <c r="H1070" s="8"/>
    </row>
    <row r="1071" spans="1:8" ht="22.5" customHeight="1">
      <c r="A1071" s="8" t="s">
        <v>63</v>
      </c>
      <c r="B1071" s="8" t="str">
        <f>"冯晓敏"</f>
        <v>冯晓敏</v>
      </c>
      <c r="C1071" s="8" t="str">
        <f>"341182199511193028"</f>
        <v>341182199511193028</v>
      </c>
      <c r="D1071" s="8" t="str">
        <f>"20200303621"</f>
        <v>20200303621</v>
      </c>
      <c r="E1071" s="9">
        <v>54.8</v>
      </c>
      <c r="F1071" s="9">
        <v>69.5</v>
      </c>
      <c r="G1071" s="9">
        <f t="shared" si="16"/>
        <v>124.3</v>
      </c>
      <c r="H1071" s="8"/>
    </row>
    <row r="1072" spans="1:8" ht="22.5" customHeight="1">
      <c r="A1072" s="8" t="s">
        <v>63</v>
      </c>
      <c r="B1072" s="8" t="str">
        <f>"卢琳青"</f>
        <v>卢琳青</v>
      </c>
      <c r="C1072" s="8" t="str">
        <f>"341182199710031822"</f>
        <v>341182199710031822</v>
      </c>
      <c r="D1072" s="8" t="str">
        <f>"20200303617"</f>
        <v>20200303617</v>
      </c>
      <c r="E1072" s="9">
        <v>47.4</v>
      </c>
      <c r="F1072" s="9">
        <v>72.5</v>
      </c>
      <c r="G1072" s="9">
        <f t="shared" si="16"/>
        <v>119.9</v>
      </c>
      <c r="H1072" s="8"/>
    </row>
    <row r="1073" spans="1:8" ht="22.5" customHeight="1">
      <c r="A1073" s="8" t="s">
        <v>63</v>
      </c>
      <c r="B1073" s="8" t="str">
        <f>"夏苏皖"</f>
        <v>夏苏皖</v>
      </c>
      <c r="C1073" s="8" t="str">
        <f>"341182199806122622"</f>
        <v>341182199806122622</v>
      </c>
      <c r="D1073" s="8" t="str">
        <f>"20200303613"</f>
        <v>20200303613</v>
      </c>
      <c r="E1073" s="9">
        <v>46.8</v>
      </c>
      <c r="F1073" s="9">
        <v>70.5</v>
      </c>
      <c r="G1073" s="9">
        <f t="shared" si="16"/>
        <v>117.3</v>
      </c>
      <c r="H1073" s="8"/>
    </row>
    <row r="1074" spans="1:8" ht="22.5" customHeight="1">
      <c r="A1074" s="8" t="s">
        <v>63</v>
      </c>
      <c r="B1074" s="8" t="str">
        <f>"程雲"</f>
        <v>程雲</v>
      </c>
      <c r="C1074" s="8" t="str">
        <f>"340824199710163263"</f>
        <v>340824199710163263</v>
      </c>
      <c r="D1074" s="8" t="str">
        <f>"20200303624"</f>
        <v>20200303624</v>
      </c>
      <c r="E1074" s="9">
        <v>46.9</v>
      </c>
      <c r="F1074" s="9">
        <v>70</v>
      </c>
      <c r="G1074" s="9">
        <f t="shared" si="16"/>
        <v>116.9</v>
      </c>
      <c r="H1074" s="8"/>
    </row>
    <row r="1075" spans="1:8" ht="22.5" customHeight="1">
      <c r="A1075" s="8" t="s">
        <v>63</v>
      </c>
      <c r="B1075" s="8" t="str">
        <f>"冯李"</f>
        <v>冯李</v>
      </c>
      <c r="C1075" s="8" t="str">
        <f>"341182199801240435"</f>
        <v>341182199801240435</v>
      </c>
      <c r="D1075" s="8" t="str">
        <f>"20200303611"</f>
        <v>20200303611</v>
      </c>
      <c r="E1075" s="9">
        <v>47.6</v>
      </c>
      <c r="F1075" s="9">
        <v>69</v>
      </c>
      <c r="G1075" s="9">
        <f t="shared" si="16"/>
        <v>116.6</v>
      </c>
      <c r="H1075" s="8"/>
    </row>
    <row r="1076" spans="1:8" ht="22.5" customHeight="1">
      <c r="A1076" s="8" t="s">
        <v>63</v>
      </c>
      <c r="B1076" s="8" t="str">
        <f>"宋怀好"</f>
        <v>宋怀好</v>
      </c>
      <c r="C1076" s="8" t="str">
        <f>"341182199711180635"</f>
        <v>341182199711180635</v>
      </c>
      <c r="D1076" s="8" t="str">
        <f>"20200303612"</f>
        <v>20200303612</v>
      </c>
      <c r="E1076" s="9">
        <v>43.4</v>
      </c>
      <c r="F1076" s="9">
        <v>65</v>
      </c>
      <c r="G1076" s="9">
        <f t="shared" si="16"/>
        <v>108.4</v>
      </c>
      <c r="H1076" s="8"/>
    </row>
    <row r="1077" spans="1:8" ht="22.5" customHeight="1">
      <c r="A1077" s="8" t="s">
        <v>63</v>
      </c>
      <c r="B1077" s="8" t="str">
        <f>"黄树月"</f>
        <v>黄树月</v>
      </c>
      <c r="C1077" s="8" t="str">
        <f>"341127199701252426"</f>
        <v>341127199701252426</v>
      </c>
      <c r="D1077" s="8" t="str">
        <f>"20200303614"</f>
        <v>20200303614</v>
      </c>
      <c r="E1077" s="9">
        <v>0</v>
      </c>
      <c r="F1077" s="9">
        <v>0</v>
      </c>
      <c r="G1077" s="9">
        <f t="shared" si="16"/>
        <v>0</v>
      </c>
      <c r="H1077" s="8" t="s">
        <v>10</v>
      </c>
    </row>
    <row r="1078" spans="1:8" ht="22.5" customHeight="1">
      <c r="A1078" s="8" t="s">
        <v>63</v>
      </c>
      <c r="B1078" s="8" t="str">
        <f>"王天栋"</f>
        <v>王天栋</v>
      </c>
      <c r="C1078" s="8" t="str">
        <f>"341182199509083014"</f>
        <v>341182199509083014</v>
      </c>
      <c r="D1078" s="8" t="str">
        <f>"20200303626"</f>
        <v>20200303626</v>
      </c>
      <c r="E1078" s="9">
        <v>0</v>
      </c>
      <c r="F1078" s="9">
        <v>0</v>
      </c>
      <c r="G1078" s="9">
        <f t="shared" si="16"/>
        <v>0</v>
      </c>
      <c r="H1078" s="8" t="s">
        <v>10</v>
      </c>
    </row>
    <row r="1079" spans="1:8" ht="22.5" customHeight="1">
      <c r="A1079" s="8" t="s">
        <v>64</v>
      </c>
      <c r="B1079" s="8" t="str">
        <f>"徐婷婷"</f>
        <v>徐婷婷</v>
      </c>
      <c r="C1079" s="8" t="str">
        <f>"34110319940228446X"</f>
        <v>34110319940228446X</v>
      </c>
      <c r="D1079" s="8" t="str">
        <f>"20200303629"</f>
        <v>20200303629</v>
      </c>
      <c r="E1079" s="9">
        <v>59.8</v>
      </c>
      <c r="F1079" s="9">
        <v>71.5</v>
      </c>
      <c r="G1079" s="9">
        <f t="shared" si="16"/>
        <v>131.3</v>
      </c>
      <c r="H1079" s="8"/>
    </row>
    <row r="1080" spans="1:8" ht="22.5" customHeight="1">
      <c r="A1080" s="8" t="s">
        <v>64</v>
      </c>
      <c r="B1080" s="8" t="str">
        <f>"黄珺"</f>
        <v>黄珺</v>
      </c>
      <c r="C1080" s="8" t="str">
        <f>"340803199012185121"</f>
        <v>340803199012185121</v>
      </c>
      <c r="D1080" s="8" t="str">
        <f>"20200303627"</f>
        <v>20200303627</v>
      </c>
      <c r="E1080" s="9">
        <v>55.1</v>
      </c>
      <c r="F1080" s="9">
        <v>71</v>
      </c>
      <c r="G1080" s="9">
        <f t="shared" si="16"/>
        <v>126.1</v>
      </c>
      <c r="H1080" s="8"/>
    </row>
    <row r="1081" spans="1:8" ht="22.5" customHeight="1">
      <c r="A1081" s="8" t="s">
        <v>64</v>
      </c>
      <c r="B1081" s="8" t="str">
        <f>"梁思雨"</f>
        <v>梁思雨</v>
      </c>
      <c r="C1081" s="8" t="str">
        <f>"341102199304126429"</f>
        <v>341102199304126429</v>
      </c>
      <c r="D1081" s="8" t="str">
        <f>"20200303704"</f>
        <v>20200303704</v>
      </c>
      <c r="E1081" s="9">
        <v>50.1</v>
      </c>
      <c r="F1081" s="9">
        <v>69.5</v>
      </c>
      <c r="G1081" s="9">
        <f t="shared" si="16"/>
        <v>119.6</v>
      </c>
      <c r="H1081" s="8"/>
    </row>
    <row r="1082" spans="1:8" ht="22.5" customHeight="1">
      <c r="A1082" s="8" t="s">
        <v>64</v>
      </c>
      <c r="B1082" s="8" t="str">
        <f>"裘成"</f>
        <v>裘成</v>
      </c>
      <c r="C1082" s="8" t="str">
        <f>"34112519931016686X"</f>
        <v>34112519931016686X</v>
      </c>
      <c r="D1082" s="8" t="str">
        <f>"20200303701"</f>
        <v>20200303701</v>
      </c>
      <c r="E1082" s="9">
        <v>46.1</v>
      </c>
      <c r="F1082" s="9">
        <v>69.5</v>
      </c>
      <c r="G1082" s="9">
        <f t="shared" si="16"/>
        <v>115.6</v>
      </c>
      <c r="H1082" s="8"/>
    </row>
    <row r="1083" spans="1:8" ht="22.5" customHeight="1">
      <c r="A1083" s="8" t="s">
        <v>64</v>
      </c>
      <c r="B1083" s="8" t="str">
        <f>"李舒"</f>
        <v>李舒</v>
      </c>
      <c r="C1083" s="8" t="str">
        <f>"342224199605140325"</f>
        <v>342224199605140325</v>
      </c>
      <c r="D1083" s="8" t="str">
        <f>"20200303630"</f>
        <v>20200303630</v>
      </c>
      <c r="E1083" s="9">
        <v>41.7</v>
      </c>
      <c r="F1083" s="9">
        <v>72</v>
      </c>
      <c r="G1083" s="9">
        <f t="shared" si="16"/>
        <v>113.7</v>
      </c>
      <c r="H1083" s="8"/>
    </row>
    <row r="1084" spans="1:8" ht="22.5" customHeight="1">
      <c r="A1084" s="8" t="s">
        <v>64</v>
      </c>
      <c r="B1084" s="8" t="str">
        <f>"陈阳"</f>
        <v>陈阳</v>
      </c>
      <c r="C1084" s="8" t="str">
        <f>"341182199503290039"</f>
        <v>341182199503290039</v>
      </c>
      <c r="D1084" s="8" t="str">
        <f>"20200303702"</f>
        <v>20200303702</v>
      </c>
      <c r="E1084" s="9">
        <v>41.9</v>
      </c>
      <c r="F1084" s="9">
        <v>69</v>
      </c>
      <c r="G1084" s="9">
        <f t="shared" si="16"/>
        <v>110.9</v>
      </c>
      <c r="H1084" s="8"/>
    </row>
    <row r="1085" spans="1:8" ht="22.5" customHeight="1">
      <c r="A1085" s="8" t="s">
        <v>64</v>
      </c>
      <c r="B1085" s="8" t="str">
        <f>"朱琳"</f>
        <v>朱琳</v>
      </c>
      <c r="C1085" s="8" t="str">
        <f>"341102199412026425"</f>
        <v>341102199412026425</v>
      </c>
      <c r="D1085" s="8" t="str">
        <f>"20200303703"</f>
        <v>20200303703</v>
      </c>
      <c r="E1085" s="9">
        <v>40.9</v>
      </c>
      <c r="F1085" s="9">
        <v>67</v>
      </c>
      <c r="G1085" s="9">
        <f t="shared" si="16"/>
        <v>107.9</v>
      </c>
      <c r="H1085" s="8"/>
    </row>
    <row r="1086" spans="1:8" ht="22.5" customHeight="1">
      <c r="A1086" s="8" t="s">
        <v>64</v>
      </c>
      <c r="B1086" s="8" t="str">
        <f>"曹梦童"</f>
        <v>曹梦童</v>
      </c>
      <c r="C1086" s="8" t="str">
        <f>"341182199211060418"</f>
        <v>341182199211060418</v>
      </c>
      <c r="D1086" s="8" t="str">
        <f>"20200303628"</f>
        <v>20200303628</v>
      </c>
      <c r="E1086" s="9">
        <v>47.7</v>
      </c>
      <c r="F1086" s="9">
        <v>58</v>
      </c>
      <c r="G1086" s="9">
        <f t="shared" si="16"/>
        <v>105.7</v>
      </c>
      <c r="H1086" s="8"/>
    </row>
    <row r="1087" spans="1:8" ht="22.5" customHeight="1">
      <c r="A1087" s="8" t="s">
        <v>64</v>
      </c>
      <c r="B1087" s="8" t="str">
        <f>"纪业顺"</f>
        <v>纪业顺</v>
      </c>
      <c r="C1087" s="8" t="str">
        <f>"341182199309033637"</f>
        <v>341182199309033637</v>
      </c>
      <c r="D1087" s="8" t="str">
        <f>"20200303705"</f>
        <v>20200303705</v>
      </c>
      <c r="E1087" s="9">
        <v>0</v>
      </c>
      <c r="F1087" s="9">
        <v>0</v>
      </c>
      <c r="G1087" s="9">
        <f t="shared" si="16"/>
        <v>0</v>
      </c>
      <c r="H1087" s="8" t="s">
        <v>10</v>
      </c>
    </row>
    <row r="1088" spans="1:8" ht="22.5" customHeight="1">
      <c r="A1088" s="8" t="s">
        <v>65</v>
      </c>
      <c r="B1088" s="8" t="str">
        <f>"邵帅"</f>
        <v>邵帅</v>
      </c>
      <c r="C1088" s="8" t="str">
        <f>"320303199501264313"</f>
        <v>320303199501264313</v>
      </c>
      <c r="D1088" s="8" t="str">
        <f>"20200303707"</f>
        <v>20200303707</v>
      </c>
      <c r="E1088" s="9">
        <v>64.7</v>
      </c>
      <c r="F1088" s="9">
        <v>68.5</v>
      </c>
      <c r="G1088" s="9">
        <f t="shared" si="16"/>
        <v>133.2</v>
      </c>
      <c r="H1088" s="8"/>
    </row>
    <row r="1089" spans="1:8" ht="22.5" customHeight="1">
      <c r="A1089" s="8" t="s">
        <v>65</v>
      </c>
      <c r="B1089" s="8" t="str">
        <f>"尹思源"</f>
        <v>尹思源</v>
      </c>
      <c r="C1089" s="8" t="str">
        <f>"320302199409294417"</f>
        <v>320302199409294417</v>
      </c>
      <c r="D1089" s="8" t="str">
        <f>"20200303708"</f>
        <v>20200303708</v>
      </c>
      <c r="E1089" s="9">
        <v>64.5</v>
      </c>
      <c r="F1089" s="9">
        <v>68.5</v>
      </c>
      <c r="G1089" s="9">
        <f t="shared" si="16"/>
        <v>133</v>
      </c>
      <c r="H1089" s="8"/>
    </row>
    <row r="1090" spans="1:8" ht="22.5" customHeight="1">
      <c r="A1090" s="8" t="s">
        <v>65</v>
      </c>
      <c r="B1090" s="8" t="str">
        <f>"陈玉琴"</f>
        <v>陈玉琴</v>
      </c>
      <c r="C1090" s="8" t="str">
        <f>"342423199102188241"</f>
        <v>342423199102188241</v>
      </c>
      <c r="D1090" s="8" t="str">
        <f>"20200303714"</f>
        <v>20200303714</v>
      </c>
      <c r="E1090" s="9">
        <v>55.1</v>
      </c>
      <c r="F1090" s="9">
        <v>70</v>
      </c>
      <c r="G1090" s="9">
        <f t="shared" si="16"/>
        <v>125.1</v>
      </c>
      <c r="H1090" s="8"/>
    </row>
    <row r="1091" spans="1:8" ht="22.5" customHeight="1">
      <c r="A1091" s="8" t="s">
        <v>65</v>
      </c>
      <c r="B1091" s="8" t="str">
        <f>"刘晨"</f>
        <v>刘晨</v>
      </c>
      <c r="C1091" s="8" t="str">
        <f>"341124199209160029"</f>
        <v>341124199209160029</v>
      </c>
      <c r="D1091" s="8" t="str">
        <f>"20200303713"</f>
        <v>20200303713</v>
      </c>
      <c r="E1091" s="9">
        <v>50.5</v>
      </c>
      <c r="F1091" s="9">
        <v>70</v>
      </c>
      <c r="G1091" s="9">
        <f aca="true" t="shared" si="17" ref="G1091:G1154">E1091+F1091</f>
        <v>120.5</v>
      </c>
      <c r="H1091" s="8"/>
    </row>
    <row r="1092" spans="1:8" ht="22.5" customHeight="1">
      <c r="A1092" s="8" t="s">
        <v>65</v>
      </c>
      <c r="B1092" s="8" t="str">
        <f>"蔡迎迎"</f>
        <v>蔡迎迎</v>
      </c>
      <c r="C1092" s="8" t="str">
        <f>"341127199005120227"</f>
        <v>341127199005120227</v>
      </c>
      <c r="D1092" s="8" t="str">
        <f>"20200303711"</f>
        <v>20200303711</v>
      </c>
      <c r="E1092" s="9">
        <v>52</v>
      </c>
      <c r="F1092" s="9">
        <v>67.5</v>
      </c>
      <c r="G1092" s="9">
        <f t="shared" si="17"/>
        <v>119.5</v>
      </c>
      <c r="H1092" s="8"/>
    </row>
    <row r="1093" spans="1:8" ht="22.5" customHeight="1">
      <c r="A1093" s="8" t="s">
        <v>65</v>
      </c>
      <c r="B1093" s="8" t="str">
        <f>"纪念"</f>
        <v>纪念</v>
      </c>
      <c r="C1093" s="8" t="str">
        <f>"341182199808300621"</f>
        <v>341182199808300621</v>
      </c>
      <c r="D1093" s="8" t="str">
        <f>"20200303709"</f>
        <v>20200303709</v>
      </c>
      <c r="E1093" s="9">
        <v>53.1</v>
      </c>
      <c r="F1093" s="9">
        <v>62.5</v>
      </c>
      <c r="G1093" s="9">
        <f t="shared" si="17"/>
        <v>115.6</v>
      </c>
      <c r="H1093" s="8"/>
    </row>
    <row r="1094" spans="1:8" ht="22.5" customHeight="1">
      <c r="A1094" s="8" t="s">
        <v>65</v>
      </c>
      <c r="B1094" s="8" t="str">
        <f>"万立竹"</f>
        <v>万立竹</v>
      </c>
      <c r="C1094" s="8" t="str">
        <f>"341182199003265021"</f>
        <v>341182199003265021</v>
      </c>
      <c r="D1094" s="8" t="str">
        <f>"20200303712"</f>
        <v>20200303712</v>
      </c>
      <c r="E1094" s="9">
        <v>35.6</v>
      </c>
      <c r="F1094" s="9">
        <v>67</v>
      </c>
      <c r="G1094" s="9">
        <f t="shared" si="17"/>
        <v>102.6</v>
      </c>
      <c r="H1094" s="8"/>
    </row>
    <row r="1095" spans="1:8" ht="22.5" customHeight="1">
      <c r="A1095" s="8" t="s">
        <v>65</v>
      </c>
      <c r="B1095" s="8" t="str">
        <f>"李宁"</f>
        <v>李宁</v>
      </c>
      <c r="C1095" s="8" t="str">
        <f>"320323199204120618"</f>
        <v>320323199204120618</v>
      </c>
      <c r="D1095" s="8" t="str">
        <f>"20200303706"</f>
        <v>20200303706</v>
      </c>
      <c r="E1095" s="9">
        <v>0</v>
      </c>
      <c r="F1095" s="9">
        <v>0</v>
      </c>
      <c r="G1095" s="9">
        <f t="shared" si="17"/>
        <v>0</v>
      </c>
      <c r="H1095" s="8" t="s">
        <v>10</v>
      </c>
    </row>
    <row r="1096" spans="1:8" ht="22.5" customHeight="1">
      <c r="A1096" s="8" t="s">
        <v>65</v>
      </c>
      <c r="B1096" s="8" t="str">
        <f>"周建"</f>
        <v>周建</v>
      </c>
      <c r="C1096" s="8" t="str">
        <f>"320830199412145415"</f>
        <v>320830199412145415</v>
      </c>
      <c r="D1096" s="8" t="str">
        <f>"20200303710"</f>
        <v>20200303710</v>
      </c>
      <c r="E1096" s="9">
        <v>0</v>
      </c>
      <c r="F1096" s="9">
        <v>0</v>
      </c>
      <c r="G1096" s="9">
        <f t="shared" si="17"/>
        <v>0</v>
      </c>
      <c r="H1096" s="8" t="s">
        <v>10</v>
      </c>
    </row>
    <row r="1097" spans="1:8" ht="22.5" customHeight="1">
      <c r="A1097" s="8" t="s">
        <v>66</v>
      </c>
      <c r="B1097" s="8" t="str">
        <f>"靳海燕"</f>
        <v>靳海燕</v>
      </c>
      <c r="C1097" s="8" t="str">
        <f>"341221199504090226"</f>
        <v>341221199504090226</v>
      </c>
      <c r="D1097" s="8" t="str">
        <f>"20200303715"</f>
        <v>20200303715</v>
      </c>
      <c r="E1097" s="9">
        <v>60.2</v>
      </c>
      <c r="F1097" s="9">
        <v>75.5</v>
      </c>
      <c r="G1097" s="9">
        <f t="shared" si="17"/>
        <v>135.7</v>
      </c>
      <c r="H1097" s="8"/>
    </row>
    <row r="1098" spans="1:8" ht="22.5" customHeight="1">
      <c r="A1098" s="8" t="s">
        <v>66</v>
      </c>
      <c r="B1098" s="8" t="str">
        <f>"刘光耀"</f>
        <v>刘光耀</v>
      </c>
      <c r="C1098" s="8" t="str">
        <f>"341124199712120219"</f>
        <v>341124199712120219</v>
      </c>
      <c r="D1098" s="8" t="str">
        <f>"20200303716"</f>
        <v>20200303716</v>
      </c>
      <c r="E1098" s="9">
        <v>56.4</v>
      </c>
      <c r="F1098" s="9">
        <v>74.5</v>
      </c>
      <c r="G1098" s="9">
        <f t="shared" si="17"/>
        <v>130.9</v>
      </c>
      <c r="H1098" s="8"/>
    </row>
    <row r="1099" spans="1:8" ht="22.5" customHeight="1">
      <c r="A1099" s="8" t="s">
        <v>67</v>
      </c>
      <c r="B1099" s="8" t="str">
        <f>"赵月明"</f>
        <v>赵月明</v>
      </c>
      <c r="C1099" s="8" t="str">
        <f>"341182199610240627"</f>
        <v>341182199610240627</v>
      </c>
      <c r="D1099" s="8" t="str">
        <f>"20200303723"</f>
        <v>20200303723</v>
      </c>
      <c r="E1099" s="9">
        <v>68.8</v>
      </c>
      <c r="F1099" s="9">
        <v>71</v>
      </c>
      <c r="G1099" s="9">
        <f t="shared" si="17"/>
        <v>139.8</v>
      </c>
      <c r="H1099" s="8"/>
    </row>
    <row r="1100" spans="1:8" ht="22.5" customHeight="1">
      <c r="A1100" s="8" t="s">
        <v>67</v>
      </c>
      <c r="B1100" s="8" t="str">
        <f>"陈霄"</f>
        <v>陈霄</v>
      </c>
      <c r="C1100" s="8" t="str">
        <f>"341182199702160448"</f>
        <v>341182199702160448</v>
      </c>
      <c r="D1100" s="8" t="str">
        <f>"20200303722"</f>
        <v>20200303722</v>
      </c>
      <c r="E1100" s="9">
        <v>64</v>
      </c>
      <c r="F1100" s="9">
        <v>74.5</v>
      </c>
      <c r="G1100" s="9">
        <f t="shared" si="17"/>
        <v>138.5</v>
      </c>
      <c r="H1100" s="8"/>
    </row>
    <row r="1101" spans="1:8" ht="22.5" customHeight="1">
      <c r="A1101" s="8" t="s">
        <v>67</v>
      </c>
      <c r="B1101" s="8" t="str">
        <f>"张倩"</f>
        <v>张倩</v>
      </c>
      <c r="C1101" s="8" t="str">
        <f>"341127199711202027"</f>
        <v>341127199711202027</v>
      </c>
      <c r="D1101" s="8" t="str">
        <f>"20200303717"</f>
        <v>20200303717</v>
      </c>
      <c r="E1101" s="9">
        <v>64.1</v>
      </c>
      <c r="F1101" s="9">
        <v>73</v>
      </c>
      <c r="G1101" s="9">
        <f t="shared" si="17"/>
        <v>137.1</v>
      </c>
      <c r="H1101" s="8"/>
    </row>
    <row r="1102" spans="1:8" ht="22.5" customHeight="1">
      <c r="A1102" s="8" t="s">
        <v>67</v>
      </c>
      <c r="B1102" s="8" t="str">
        <f>"丁倩文"</f>
        <v>丁倩文</v>
      </c>
      <c r="C1102" s="8" t="str">
        <f>"341182199705114420"</f>
        <v>341182199705114420</v>
      </c>
      <c r="D1102" s="8" t="str">
        <f>"20200303726"</f>
        <v>20200303726</v>
      </c>
      <c r="E1102" s="9">
        <v>55.9</v>
      </c>
      <c r="F1102" s="9">
        <v>74</v>
      </c>
      <c r="G1102" s="9">
        <f t="shared" si="17"/>
        <v>129.9</v>
      </c>
      <c r="H1102" s="8"/>
    </row>
    <row r="1103" spans="1:8" ht="22.5" customHeight="1">
      <c r="A1103" s="8" t="s">
        <v>67</v>
      </c>
      <c r="B1103" s="8" t="str">
        <f>"韩倩倩"</f>
        <v>韩倩倩</v>
      </c>
      <c r="C1103" s="8" t="str">
        <f>"341126199410116524"</f>
        <v>341126199410116524</v>
      </c>
      <c r="D1103" s="8" t="str">
        <f>"20200303727"</f>
        <v>20200303727</v>
      </c>
      <c r="E1103" s="9">
        <v>56.6</v>
      </c>
      <c r="F1103" s="9">
        <v>71.5</v>
      </c>
      <c r="G1103" s="9">
        <f t="shared" si="17"/>
        <v>128.1</v>
      </c>
      <c r="H1103" s="8"/>
    </row>
    <row r="1104" spans="1:8" ht="22.5" customHeight="1">
      <c r="A1104" s="8" t="s">
        <v>67</v>
      </c>
      <c r="B1104" s="8" t="str">
        <f>"满江雪"</f>
        <v>满江雪</v>
      </c>
      <c r="C1104" s="8" t="str">
        <f>"341182199811270224"</f>
        <v>341182199811270224</v>
      </c>
      <c r="D1104" s="8" t="str">
        <f>"20200303720"</f>
        <v>20200303720</v>
      </c>
      <c r="E1104" s="9">
        <v>51.7</v>
      </c>
      <c r="F1104" s="9">
        <v>76</v>
      </c>
      <c r="G1104" s="9">
        <f t="shared" si="17"/>
        <v>127.7</v>
      </c>
      <c r="H1104" s="8"/>
    </row>
    <row r="1105" spans="1:8" ht="22.5" customHeight="1">
      <c r="A1105" s="8" t="s">
        <v>67</v>
      </c>
      <c r="B1105" s="8" t="str">
        <f>"朱珠"</f>
        <v>朱珠</v>
      </c>
      <c r="C1105" s="8" t="str">
        <f>"341182199702085847"</f>
        <v>341182199702085847</v>
      </c>
      <c r="D1105" s="8" t="str">
        <f>"20200303719"</f>
        <v>20200303719</v>
      </c>
      <c r="E1105" s="9">
        <v>53</v>
      </c>
      <c r="F1105" s="9">
        <v>73.5</v>
      </c>
      <c r="G1105" s="9">
        <f t="shared" si="17"/>
        <v>126.5</v>
      </c>
      <c r="H1105" s="8"/>
    </row>
    <row r="1106" spans="1:8" ht="22.5" customHeight="1">
      <c r="A1106" s="8" t="s">
        <v>67</v>
      </c>
      <c r="B1106" s="8" t="str">
        <f>"李春雨"</f>
        <v>李春雨</v>
      </c>
      <c r="C1106" s="8" t="str">
        <f>"341182199611212417"</f>
        <v>341182199611212417</v>
      </c>
      <c r="D1106" s="8" t="str">
        <f>"20200303721"</f>
        <v>20200303721</v>
      </c>
      <c r="E1106" s="9">
        <v>47.9</v>
      </c>
      <c r="F1106" s="9">
        <v>70.5</v>
      </c>
      <c r="G1106" s="9">
        <f t="shared" si="17"/>
        <v>118.4</v>
      </c>
      <c r="H1106" s="8"/>
    </row>
    <row r="1107" spans="1:8" ht="22.5" customHeight="1">
      <c r="A1107" s="8" t="s">
        <v>67</v>
      </c>
      <c r="B1107" s="8" t="str">
        <f>"孙晓晓"</f>
        <v>孙晓晓</v>
      </c>
      <c r="C1107" s="8" t="str">
        <f>"341182199402192413"</f>
        <v>341182199402192413</v>
      </c>
      <c r="D1107" s="8" t="str">
        <f>"20200303718"</f>
        <v>20200303718</v>
      </c>
      <c r="E1107" s="9">
        <v>40.2</v>
      </c>
      <c r="F1107" s="9">
        <v>65</v>
      </c>
      <c r="G1107" s="9">
        <f t="shared" si="17"/>
        <v>105.2</v>
      </c>
      <c r="H1107" s="8"/>
    </row>
    <row r="1108" spans="1:8" ht="22.5" customHeight="1">
      <c r="A1108" s="8" t="s">
        <v>67</v>
      </c>
      <c r="B1108" s="8" t="str">
        <f>"顾万露"</f>
        <v>顾万露</v>
      </c>
      <c r="C1108" s="8" t="str">
        <f>"341181199801275826"</f>
        <v>341181199801275826</v>
      </c>
      <c r="D1108" s="8" t="str">
        <f>"20200303724"</f>
        <v>20200303724</v>
      </c>
      <c r="E1108" s="9">
        <v>0</v>
      </c>
      <c r="F1108" s="9">
        <v>0</v>
      </c>
      <c r="G1108" s="9">
        <f t="shared" si="17"/>
        <v>0</v>
      </c>
      <c r="H1108" s="8" t="s">
        <v>10</v>
      </c>
    </row>
    <row r="1109" spans="1:8" ht="22.5" customHeight="1">
      <c r="A1109" s="8" t="s">
        <v>67</v>
      </c>
      <c r="B1109" s="8" t="str">
        <f>"徐梦雅"</f>
        <v>徐梦雅</v>
      </c>
      <c r="C1109" s="8" t="str">
        <f>"341182199701130423"</f>
        <v>341182199701130423</v>
      </c>
      <c r="D1109" s="8" t="str">
        <f>"20200303725"</f>
        <v>20200303725</v>
      </c>
      <c r="E1109" s="9">
        <v>0</v>
      </c>
      <c r="F1109" s="9">
        <v>0</v>
      </c>
      <c r="G1109" s="9">
        <f t="shared" si="17"/>
        <v>0</v>
      </c>
      <c r="H1109" s="8" t="s">
        <v>10</v>
      </c>
    </row>
    <row r="1110" spans="1:8" ht="22.5" customHeight="1">
      <c r="A1110" s="8" t="s">
        <v>68</v>
      </c>
      <c r="B1110" s="8" t="str">
        <f>"王玮"</f>
        <v>王玮</v>
      </c>
      <c r="C1110" s="8" t="str">
        <f>"341181199808080212"</f>
        <v>341181199808080212</v>
      </c>
      <c r="D1110" s="8" t="str">
        <f>"20200303728"</f>
        <v>20200303728</v>
      </c>
      <c r="E1110" s="9">
        <v>0</v>
      </c>
      <c r="F1110" s="9">
        <v>0</v>
      </c>
      <c r="G1110" s="9">
        <f t="shared" si="17"/>
        <v>0</v>
      </c>
      <c r="H1110" s="8" t="s">
        <v>10</v>
      </c>
    </row>
    <row r="1111" spans="1:8" ht="22.5" customHeight="1">
      <c r="A1111" s="8" t="s">
        <v>68</v>
      </c>
      <c r="B1111" s="8" t="str">
        <f>"李晖"</f>
        <v>李晖</v>
      </c>
      <c r="C1111" s="8" t="str">
        <f>"350981199908220037"</f>
        <v>350981199908220037</v>
      </c>
      <c r="D1111" s="8" t="str">
        <f>"20200303729"</f>
        <v>20200303729</v>
      </c>
      <c r="E1111" s="9">
        <v>0</v>
      </c>
      <c r="F1111" s="9">
        <v>0</v>
      </c>
      <c r="G1111" s="9">
        <f t="shared" si="17"/>
        <v>0</v>
      </c>
      <c r="H1111" s="8" t="s">
        <v>10</v>
      </c>
    </row>
    <row r="1112" spans="1:8" ht="22.5" customHeight="1">
      <c r="A1112" s="8" t="s">
        <v>68</v>
      </c>
      <c r="B1112" s="8" t="str">
        <f>"张晨旭"</f>
        <v>张晨旭</v>
      </c>
      <c r="C1112" s="8" t="str">
        <f>"340404199809270635"</f>
        <v>340404199809270635</v>
      </c>
      <c r="D1112" s="8" t="str">
        <f>"20200303730"</f>
        <v>20200303730</v>
      </c>
      <c r="E1112" s="9">
        <v>0</v>
      </c>
      <c r="F1112" s="9">
        <v>0</v>
      </c>
      <c r="G1112" s="9">
        <f t="shared" si="17"/>
        <v>0</v>
      </c>
      <c r="H1112" s="8" t="s">
        <v>10</v>
      </c>
    </row>
    <row r="1113" spans="1:8" ht="22.5" customHeight="1">
      <c r="A1113" s="8" t="s">
        <v>68</v>
      </c>
      <c r="B1113" s="8" t="str">
        <f>"程森"</f>
        <v>程森</v>
      </c>
      <c r="C1113" s="8" t="str">
        <f>"340824199611047419"</f>
        <v>340824199611047419</v>
      </c>
      <c r="D1113" s="8" t="str">
        <f>"20200303801"</f>
        <v>20200303801</v>
      </c>
      <c r="E1113" s="9">
        <v>0</v>
      </c>
      <c r="F1113" s="9">
        <v>0</v>
      </c>
      <c r="G1113" s="9">
        <f t="shared" si="17"/>
        <v>0</v>
      </c>
      <c r="H1113" s="8" t="s">
        <v>10</v>
      </c>
    </row>
    <row r="1114" spans="1:8" ht="22.5" customHeight="1">
      <c r="A1114" s="8" t="s">
        <v>69</v>
      </c>
      <c r="B1114" s="8" t="str">
        <f>"展晓宇"</f>
        <v>展晓宇</v>
      </c>
      <c r="C1114" s="8" t="str">
        <f>"342201199712192425"</f>
        <v>342201199712192425</v>
      </c>
      <c r="D1114" s="8" t="str">
        <f>"20200303802"</f>
        <v>20200303802</v>
      </c>
      <c r="E1114" s="9">
        <v>45.5</v>
      </c>
      <c r="F1114" s="9">
        <v>69</v>
      </c>
      <c r="G1114" s="9">
        <f t="shared" si="17"/>
        <v>114.5</v>
      </c>
      <c r="H1114" s="8"/>
    </row>
    <row r="1115" spans="1:8" ht="22.5" customHeight="1">
      <c r="A1115" s="8" t="s">
        <v>69</v>
      </c>
      <c r="B1115" s="8" t="str">
        <f>"程健"</f>
        <v>程健</v>
      </c>
      <c r="C1115" s="8" t="str">
        <f>"340881199801021225"</f>
        <v>340881199801021225</v>
      </c>
      <c r="D1115" s="8" t="str">
        <f>"20200303803"</f>
        <v>20200303803</v>
      </c>
      <c r="E1115" s="9">
        <v>0</v>
      </c>
      <c r="F1115" s="9">
        <v>0</v>
      </c>
      <c r="G1115" s="9">
        <f t="shared" si="17"/>
        <v>0</v>
      </c>
      <c r="H1115" s="8" t="s">
        <v>10</v>
      </c>
    </row>
    <row r="1116" spans="1:8" ht="22.5" customHeight="1">
      <c r="A1116" s="8" t="s">
        <v>70</v>
      </c>
      <c r="B1116" s="8" t="str">
        <f>"詹渴望"</f>
        <v>詹渴望</v>
      </c>
      <c r="C1116" s="8" t="str">
        <f>"341182199909233018"</f>
        <v>341182199909233018</v>
      </c>
      <c r="D1116" s="8" t="str">
        <f>"20200303804"</f>
        <v>20200303804</v>
      </c>
      <c r="E1116" s="9">
        <v>62</v>
      </c>
      <c r="F1116" s="9">
        <v>67</v>
      </c>
      <c r="G1116" s="9">
        <f t="shared" si="17"/>
        <v>129</v>
      </c>
      <c r="H1116" s="8"/>
    </row>
    <row r="1117" spans="1:8" ht="22.5" customHeight="1">
      <c r="A1117" s="8" t="s">
        <v>70</v>
      </c>
      <c r="B1117" s="8" t="str">
        <f>"王维一"</f>
        <v>王维一</v>
      </c>
      <c r="C1117" s="8" t="str">
        <f>"341182199711194420"</f>
        <v>341182199711194420</v>
      </c>
      <c r="D1117" s="8" t="str">
        <f>"20200303816"</f>
        <v>20200303816</v>
      </c>
      <c r="E1117" s="9">
        <v>52.4</v>
      </c>
      <c r="F1117" s="9">
        <v>73</v>
      </c>
      <c r="G1117" s="9">
        <f t="shared" si="17"/>
        <v>125.4</v>
      </c>
      <c r="H1117" s="8"/>
    </row>
    <row r="1118" spans="1:8" ht="22.5" customHeight="1">
      <c r="A1118" s="8" t="s">
        <v>70</v>
      </c>
      <c r="B1118" s="8" t="str">
        <f>"吴智星"</f>
        <v>吴智星</v>
      </c>
      <c r="C1118" s="8" t="str">
        <f>"340322199706110820"</f>
        <v>340322199706110820</v>
      </c>
      <c r="D1118" s="8" t="str">
        <f>"20200303812"</f>
        <v>20200303812</v>
      </c>
      <c r="E1118" s="9">
        <v>56.1</v>
      </c>
      <c r="F1118" s="9">
        <v>67.5</v>
      </c>
      <c r="G1118" s="9">
        <f t="shared" si="17"/>
        <v>123.6</v>
      </c>
      <c r="H1118" s="8"/>
    </row>
    <row r="1119" spans="1:8" ht="22.5" customHeight="1">
      <c r="A1119" s="8" t="s">
        <v>70</v>
      </c>
      <c r="B1119" s="8" t="str">
        <f>"郑虎"</f>
        <v>郑虎</v>
      </c>
      <c r="C1119" s="8" t="str">
        <f>"341182199805073216"</f>
        <v>341182199805073216</v>
      </c>
      <c r="D1119" s="8" t="str">
        <f>"20200303806"</f>
        <v>20200303806</v>
      </c>
      <c r="E1119" s="9">
        <v>48.1</v>
      </c>
      <c r="F1119" s="9">
        <v>73</v>
      </c>
      <c r="G1119" s="9">
        <f t="shared" si="17"/>
        <v>121.1</v>
      </c>
      <c r="H1119" s="8"/>
    </row>
    <row r="1120" spans="1:8" ht="22.5" customHeight="1">
      <c r="A1120" s="8" t="s">
        <v>70</v>
      </c>
      <c r="B1120" s="8" t="str">
        <f>"徐昊宇"</f>
        <v>徐昊宇</v>
      </c>
      <c r="C1120" s="8" t="str">
        <f>"341182199909180219"</f>
        <v>341182199909180219</v>
      </c>
      <c r="D1120" s="8" t="str">
        <f>"20200303814"</f>
        <v>20200303814</v>
      </c>
      <c r="E1120" s="9">
        <v>48</v>
      </c>
      <c r="F1120" s="9">
        <v>70</v>
      </c>
      <c r="G1120" s="9">
        <f t="shared" si="17"/>
        <v>118</v>
      </c>
      <c r="H1120" s="8"/>
    </row>
    <row r="1121" spans="1:8" ht="22.5" customHeight="1">
      <c r="A1121" s="8" t="s">
        <v>70</v>
      </c>
      <c r="B1121" s="8" t="str">
        <f>"夏林静"</f>
        <v>夏林静</v>
      </c>
      <c r="C1121" s="8" t="str">
        <f>"341182199803213027"</f>
        <v>341182199803213027</v>
      </c>
      <c r="D1121" s="8" t="str">
        <f>"20200303810"</f>
        <v>20200303810</v>
      </c>
      <c r="E1121" s="9">
        <v>40.8</v>
      </c>
      <c r="F1121" s="9">
        <v>70.5</v>
      </c>
      <c r="G1121" s="9">
        <f t="shared" si="17"/>
        <v>111.3</v>
      </c>
      <c r="H1121" s="8"/>
    </row>
    <row r="1122" spans="1:8" ht="22.5" customHeight="1">
      <c r="A1122" s="8" t="s">
        <v>70</v>
      </c>
      <c r="B1122" s="8" t="str">
        <f>"汪宁波"</f>
        <v>汪宁波</v>
      </c>
      <c r="C1122" s="8" t="str">
        <f>"341182199910042649"</f>
        <v>341182199910042649</v>
      </c>
      <c r="D1122" s="8" t="str">
        <f>"20200303809"</f>
        <v>20200303809</v>
      </c>
      <c r="E1122" s="9">
        <v>44.7</v>
      </c>
      <c r="F1122" s="9">
        <v>66.5</v>
      </c>
      <c r="G1122" s="9">
        <f t="shared" si="17"/>
        <v>111.2</v>
      </c>
      <c r="H1122" s="8"/>
    </row>
    <row r="1123" spans="1:8" ht="22.5" customHeight="1">
      <c r="A1123" s="8" t="s">
        <v>70</v>
      </c>
      <c r="B1123" s="8" t="str">
        <f>"丁曼琦"</f>
        <v>丁曼琦</v>
      </c>
      <c r="C1123" s="8" t="str">
        <f>"341182199907260629"</f>
        <v>341182199907260629</v>
      </c>
      <c r="D1123" s="8" t="str">
        <f>"20200303818"</f>
        <v>20200303818</v>
      </c>
      <c r="E1123" s="9">
        <v>43.2</v>
      </c>
      <c r="F1123" s="9">
        <v>67.5</v>
      </c>
      <c r="G1123" s="9">
        <f t="shared" si="17"/>
        <v>110.7</v>
      </c>
      <c r="H1123" s="8"/>
    </row>
    <row r="1124" spans="1:8" ht="22.5" customHeight="1">
      <c r="A1124" s="8" t="s">
        <v>70</v>
      </c>
      <c r="B1124" s="8" t="str">
        <f>"孟涵"</f>
        <v>孟涵</v>
      </c>
      <c r="C1124" s="8" t="str">
        <f>"341182200004062029"</f>
        <v>341182200004062029</v>
      </c>
      <c r="D1124" s="8" t="str">
        <f>"20200303815"</f>
        <v>20200303815</v>
      </c>
      <c r="E1124" s="9">
        <v>38.7</v>
      </c>
      <c r="F1124" s="9">
        <v>71.5</v>
      </c>
      <c r="G1124" s="9">
        <f t="shared" si="17"/>
        <v>110.2</v>
      </c>
      <c r="H1124" s="8"/>
    </row>
    <row r="1125" spans="1:8" ht="22.5" customHeight="1">
      <c r="A1125" s="8" t="s">
        <v>70</v>
      </c>
      <c r="B1125" s="8" t="str">
        <f>"沈馨悦"</f>
        <v>沈馨悦</v>
      </c>
      <c r="C1125" s="8" t="str">
        <f>"341182200010184823"</f>
        <v>341182200010184823</v>
      </c>
      <c r="D1125" s="8" t="str">
        <f>"20200303813"</f>
        <v>20200303813</v>
      </c>
      <c r="E1125" s="9">
        <v>37.2</v>
      </c>
      <c r="F1125" s="9">
        <v>69.5</v>
      </c>
      <c r="G1125" s="9">
        <f t="shared" si="17"/>
        <v>106.7</v>
      </c>
      <c r="H1125" s="8"/>
    </row>
    <row r="1126" spans="1:8" ht="22.5" customHeight="1">
      <c r="A1126" s="8" t="s">
        <v>70</v>
      </c>
      <c r="B1126" s="8" t="str">
        <f>"陆启迪"</f>
        <v>陆启迪</v>
      </c>
      <c r="C1126" s="8" t="str">
        <f>"341127199812102463"</f>
        <v>341127199812102463</v>
      </c>
      <c r="D1126" s="8" t="str">
        <f>"20200303819"</f>
        <v>20200303819</v>
      </c>
      <c r="E1126" s="9">
        <v>36</v>
      </c>
      <c r="F1126" s="9">
        <v>70.5</v>
      </c>
      <c r="G1126" s="9">
        <f t="shared" si="17"/>
        <v>106.5</v>
      </c>
      <c r="H1126" s="8"/>
    </row>
    <row r="1127" spans="1:8" ht="22.5" customHeight="1">
      <c r="A1127" s="8" t="s">
        <v>70</v>
      </c>
      <c r="B1127" s="8" t="str">
        <f>"张恒"</f>
        <v>张恒</v>
      </c>
      <c r="C1127" s="8" t="str">
        <f>"341182199903086213"</f>
        <v>341182199903086213</v>
      </c>
      <c r="D1127" s="8" t="str">
        <f>"20200303811"</f>
        <v>20200303811</v>
      </c>
      <c r="E1127" s="9">
        <v>42.1</v>
      </c>
      <c r="F1127" s="9">
        <v>49</v>
      </c>
      <c r="G1127" s="9">
        <f t="shared" si="17"/>
        <v>91.1</v>
      </c>
      <c r="H1127" s="8"/>
    </row>
    <row r="1128" spans="1:8" ht="22.5" customHeight="1">
      <c r="A1128" s="8" t="s">
        <v>70</v>
      </c>
      <c r="B1128" s="8" t="str">
        <f>"仲旭旭"</f>
        <v>仲旭旭</v>
      </c>
      <c r="C1128" s="8" t="str">
        <f>"341182199910234421"</f>
        <v>341182199910234421</v>
      </c>
      <c r="D1128" s="8" t="str">
        <f>"20200303808"</f>
        <v>20200303808</v>
      </c>
      <c r="E1128" s="9">
        <v>42.6</v>
      </c>
      <c r="F1128" s="9">
        <v>44.5</v>
      </c>
      <c r="G1128" s="9">
        <f t="shared" si="17"/>
        <v>87.1</v>
      </c>
      <c r="H1128" s="8"/>
    </row>
    <row r="1129" spans="1:8" ht="22.5" customHeight="1">
      <c r="A1129" s="8" t="s">
        <v>70</v>
      </c>
      <c r="B1129" s="8" t="str">
        <f>"赵彦嵩"</f>
        <v>赵彦嵩</v>
      </c>
      <c r="C1129" s="8" t="str">
        <f>"341182199904142627"</f>
        <v>341182199904142627</v>
      </c>
      <c r="D1129" s="8" t="str">
        <f>"20200303805"</f>
        <v>20200303805</v>
      </c>
      <c r="E1129" s="9">
        <v>11.1</v>
      </c>
      <c r="F1129" s="9">
        <v>64</v>
      </c>
      <c r="G1129" s="9">
        <f t="shared" si="17"/>
        <v>75.1</v>
      </c>
      <c r="H1129" s="8"/>
    </row>
    <row r="1130" spans="1:8" ht="22.5" customHeight="1">
      <c r="A1130" s="8" t="s">
        <v>70</v>
      </c>
      <c r="B1130" s="8" t="str">
        <f>"李红宇"</f>
        <v>李红宇</v>
      </c>
      <c r="C1130" s="8" t="str">
        <f>"130429199808042612"</f>
        <v>130429199808042612</v>
      </c>
      <c r="D1130" s="8" t="str">
        <f>"20200303807"</f>
        <v>20200303807</v>
      </c>
      <c r="E1130" s="9">
        <v>0</v>
      </c>
      <c r="F1130" s="9">
        <v>0</v>
      </c>
      <c r="G1130" s="9">
        <f t="shared" si="17"/>
        <v>0</v>
      </c>
      <c r="H1130" s="8" t="s">
        <v>10</v>
      </c>
    </row>
    <row r="1131" spans="1:8" ht="22.5" customHeight="1">
      <c r="A1131" s="8" t="s">
        <v>70</v>
      </c>
      <c r="B1131" s="8" t="str">
        <f>"张明珠"</f>
        <v>张明珠</v>
      </c>
      <c r="C1131" s="8" t="str">
        <f>"341125199902052364"</f>
        <v>341125199902052364</v>
      </c>
      <c r="D1131" s="8" t="str">
        <f>"20200303817"</f>
        <v>20200303817</v>
      </c>
      <c r="E1131" s="9">
        <v>0</v>
      </c>
      <c r="F1131" s="9">
        <v>0</v>
      </c>
      <c r="G1131" s="9">
        <f t="shared" si="17"/>
        <v>0</v>
      </c>
      <c r="H1131" s="8" t="s">
        <v>10</v>
      </c>
    </row>
    <row r="1132" spans="1:8" ht="22.5" customHeight="1">
      <c r="A1132" s="8" t="s">
        <v>71</v>
      </c>
      <c r="B1132" s="8" t="str">
        <f>"王啸鹏"</f>
        <v>王啸鹏</v>
      </c>
      <c r="C1132" s="8" t="str">
        <f>"341182198908190218"</f>
        <v>341182198908190218</v>
      </c>
      <c r="D1132" s="8" t="str">
        <f>"20200303824"</f>
        <v>20200303824</v>
      </c>
      <c r="E1132" s="9">
        <v>77</v>
      </c>
      <c r="F1132" s="9">
        <v>70</v>
      </c>
      <c r="G1132" s="9">
        <f t="shared" si="17"/>
        <v>147</v>
      </c>
      <c r="H1132" s="8"/>
    </row>
    <row r="1133" spans="1:8" ht="22.5" customHeight="1">
      <c r="A1133" s="8" t="s">
        <v>71</v>
      </c>
      <c r="B1133" s="8" t="str">
        <f>"徐丹"</f>
        <v>徐丹</v>
      </c>
      <c r="C1133" s="8" t="str">
        <f>"341182198708244648"</f>
        <v>341182198708244648</v>
      </c>
      <c r="D1133" s="8" t="str">
        <f>"20200303905"</f>
        <v>20200303905</v>
      </c>
      <c r="E1133" s="9">
        <v>65.9</v>
      </c>
      <c r="F1133" s="9">
        <v>72</v>
      </c>
      <c r="G1133" s="9">
        <f t="shared" si="17"/>
        <v>137.9</v>
      </c>
      <c r="H1133" s="8"/>
    </row>
    <row r="1134" spans="1:8" ht="22.5" customHeight="1">
      <c r="A1134" s="8" t="s">
        <v>71</v>
      </c>
      <c r="B1134" s="8" t="str">
        <f>"张峥"</f>
        <v>张峥</v>
      </c>
      <c r="C1134" s="8" t="str">
        <f>"341102199112310213"</f>
        <v>341102199112310213</v>
      </c>
      <c r="D1134" s="8" t="str">
        <f>"20200303919"</f>
        <v>20200303919</v>
      </c>
      <c r="E1134" s="9">
        <v>57.4</v>
      </c>
      <c r="F1134" s="9">
        <v>70</v>
      </c>
      <c r="G1134" s="9">
        <f t="shared" si="17"/>
        <v>127.4</v>
      </c>
      <c r="H1134" s="8"/>
    </row>
    <row r="1135" spans="1:8" ht="22.5" customHeight="1">
      <c r="A1135" s="8" t="s">
        <v>71</v>
      </c>
      <c r="B1135" s="8" t="str">
        <f>"李何青青"</f>
        <v>李何青青</v>
      </c>
      <c r="C1135" s="8" t="str">
        <f>"341182199210010021"</f>
        <v>341182199210010021</v>
      </c>
      <c r="D1135" s="8" t="str">
        <f>"20200303917"</f>
        <v>20200303917</v>
      </c>
      <c r="E1135" s="9">
        <v>53.5</v>
      </c>
      <c r="F1135" s="9">
        <v>73</v>
      </c>
      <c r="G1135" s="9">
        <f t="shared" si="17"/>
        <v>126.5</v>
      </c>
      <c r="H1135" s="8"/>
    </row>
    <row r="1136" spans="1:8" ht="22.5" customHeight="1">
      <c r="A1136" s="8" t="s">
        <v>71</v>
      </c>
      <c r="B1136" s="8" t="str">
        <f>"刘蕊"</f>
        <v>刘蕊</v>
      </c>
      <c r="C1136" s="8" t="str">
        <f>"340321198506280162"</f>
        <v>340321198506280162</v>
      </c>
      <c r="D1136" s="8" t="str">
        <f>"20200303916"</f>
        <v>20200303916</v>
      </c>
      <c r="E1136" s="9">
        <v>57.3</v>
      </c>
      <c r="F1136" s="9">
        <v>68.5</v>
      </c>
      <c r="G1136" s="9">
        <f t="shared" si="17"/>
        <v>125.8</v>
      </c>
      <c r="H1136" s="8"/>
    </row>
    <row r="1137" spans="1:8" ht="22.5" customHeight="1">
      <c r="A1137" s="8" t="s">
        <v>71</v>
      </c>
      <c r="B1137" s="8" t="str">
        <f>"陈文韬"</f>
        <v>陈文韬</v>
      </c>
      <c r="C1137" s="8" t="str">
        <f>"341126199310050038"</f>
        <v>341126199310050038</v>
      </c>
      <c r="D1137" s="8" t="str">
        <f>"20200303914"</f>
        <v>20200303914</v>
      </c>
      <c r="E1137" s="9">
        <v>54.8</v>
      </c>
      <c r="F1137" s="9">
        <v>70.5</v>
      </c>
      <c r="G1137" s="9">
        <f t="shared" si="17"/>
        <v>125.3</v>
      </c>
      <c r="H1137" s="8"/>
    </row>
    <row r="1138" spans="1:8" ht="22.5" customHeight="1">
      <c r="A1138" s="8" t="s">
        <v>71</v>
      </c>
      <c r="B1138" s="8" t="str">
        <f>"杭欢"</f>
        <v>杭欢</v>
      </c>
      <c r="C1138" s="8" t="str">
        <f>"341182199107230018"</f>
        <v>341182199107230018</v>
      </c>
      <c r="D1138" s="8" t="str">
        <f>"20200303918"</f>
        <v>20200303918</v>
      </c>
      <c r="E1138" s="9">
        <v>54.2</v>
      </c>
      <c r="F1138" s="9">
        <v>70.5</v>
      </c>
      <c r="G1138" s="9">
        <f t="shared" si="17"/>
        <v>124.7</v>
      </c>
      <c r="H1138" s="8"/>
    </row>
    <row r="1139" spans="1:8" ht="22.5" customHeight="1">
      <c r="A1139" s="8" t="s">
        <v>71</v>
      </c>
      <c r="B1139" s="8" t="str">
        <f>"李玉"</f>
        <v>李玉</v>
      </c>
      <c r="C1139" s="8" t="str">
        <f>"341182199409052421"</f>
        <v>341182199409052421</v>
      </c>
      <c r="D1139" s="8" t="str">
        <f>"20200303829"</f>
        <v>20200303829</v>
      </c>
      <c r="E1139" s="9">
        <v>52.9</v>
      </c>
      <c r="F1139" s="9">
        <v>71.5</v>
      </c>
      <c r="G1139" s="9">
        <f t="shared" si="17"/>
        <v>124.4</v>
      </c>
      <c r="H1139" s="8"/>
    </row>
    <row r="1140" spans="1:8" ht="22.5" customHeight="1">
      <c r="A1140" s="8" t="s">
        <v>71</v>
      </c>
      <c r="B1140" s="8" t="str">
        <f>"肖亚男"</f>
        <v>肖亚男</v>
      </c>
      <c r="C1140" s="8" t="str">
        <f>"341181199506121429"</f>
        <v>341181199506121429</v>
      </c>
      <c r="D1140" s="8" t="str">
        <f>"20200303906"</f>
        <v>20200303906</v>
      </c>
      <c r="E1140" s="9">
        <v>53.9</v>
      </c>
      <c r="F1140" s="9">
        <v>70.5</v>
      </c>
      <c r="G1140" s="9">
        <f t="shared" si="17"/>
        <v>124.4</v>
      </c>
      <c r="H1140" s="8"/>
    </row>
    <row r="1141" spans="1:8" ht="22.5" customHeight="1">
      <c r="A1141" s="8" t="s">
        <v>71</v>
      </c>
      <c r="B1141" s="8" t="str">
        <f>"龚蓉"</f>
        <v>龚蓉</v>
      </c>
      <c r="C1141" s="8" t="str">
        <f>"341182199110230027"</f>
        <v>341182199110230027</v>
      </c>
      <c r="D1141" s="8" t="str">
        <f>"20200303903"</f>
        <v>20200303903</v>
      </c>
      <c r="E1141" s="9">
        <v>50.2</v>
      </c>
      <c r="F1141" s="9">
        <v>74</v>
      </c>
      <c r="G1141" s="9">
        <f t="shared" si="17"/>
        <v>124.2</v>
      </c>
      <c r="H1141" s="8"/>
    </row>
    <row r="1142" spans="1:8" ht="22.5" customHeight="1">
      <c r="A1142" s="8" t="s">
        <v>71</v>
      </c>
      <c r="B1142" s="8" t="str">
        <f>"刘修藩"</f>
        <v>刘修藩</v>
      </c>
      <c r="C1142" s="8" t="str">
        <f>"341182199208125639"</f>
        <v>341182199208125639</v>
      </c>
      <c r="D1142" s="8" t="str">
        <f>"20200303920"</f>
        <v>20200303920</v>
      </c>
      <c r="E1142" s="9">
        <v>53.7</v>
      </c>
      <c r="F1142" s="9">
        <v>70.5</v>
      </c>
      <c r="G1142" s="9">
        <f t="shared" si="17"/>
        <v>124.2</v>
      </c>
      <c r="H1142" s="8"/>
    </row>
    <row r="1143" spans="1:8" ht="22.5" customHeight="1">
      <c r="A1143" s="8" t="s">
        <v>71</v>
      </c>
      <c r="B1143" s="8" t="str">
        <f>"王璟昀"</f>
        <v>王璟昀</v>
      </c>
      <c r="C1143" s="8" t="str">
        <f>"341182199305160217"</f>
        <v>341182199305160217</v>
      </c>
      <c r="D1143" s="8" t="str">
        <f>"20200303921"</f>
        <v>20200303921</v>
      </c>
      <c r="E1143" s="9">
        <v>53.1</v>
      </c>
      <c r="F1143" s="9">
        <v>70.5</v>
      </c>
      <c r="G1143" s="9">
        <f t="shared" si="17"/>
        <v>123.6</v>
      </c>
      <c r="H1143" s="8"/>
    </row>
    <row r="1144" spans="1:8" ht="22.5" customHeight="1">
      <c r="A1144" s="8" t="s">
        <v>71</v>
      </c>
      <c r="B1144" s="8" t="str">
        <f>"吴傲琪"</f>
        <v>吴傲琪</v>
      </c>
      <c r="C1144" s="8" t="str">
        <f>"341182199812282227"</f>
        <v>341182199812282227</v>
      </c>
      <c r="D1144" s="8" t="str">
        <f>"20200303830"</f>
        <v>20200303830</v>
      </c>
      <c r="E1144" s="9">
        <v>51.9</v>
      </c>
      <c r="F1144" s="9">
        <v>70.5</v>
      </c>
      <c r="G1144" s="9">
        <f t="shared" si="17"/>
        <v>122.4</v>
      </c>
      <c r="H1144" s="8"/>
    </row>
    <row r="1145" spans="1:8" ht="22.5" customHeight="1">
      <c r="A1145" s="8" t="s">
        <v>71</v>
      </c>
      <c r="B1145" s="8" t="str">
        <f>"席秀明"</f>
        <v>席秀明</v>
      </c>
      <c r="C1145" s="8" t="str">
        <f>"341182198801060245"</f>
        <v>341182198801060245</v>
      </c>
      <c r="D1145" s="8" t="str">
        <f>"20200303827"</f>
        <v>20200303827</v>
      </c>
      <c r="E1145" s="9">
        <v>56.8</v>
      </c>
      <c r="F1145" s="9">
        <v>65</v>
      </c>
      <c r="G1145" s="9">
        <f t="shared" si="17"/>
        <v>121.8</v>
      </c>
      <c r="H1145" s="8"/>
    </row>
    <row r="1146" spans="1:8" ht="22.5" customHeight="1">
      <c r="A1146" s="8" t="s">
        <v>71</v>
      </c>
      <c r="B1146" s="8" t="str">
        <f>"李莉"</f>
        <v>李莉</v>
      </c>
      <c r="C1146" s="8" t="str">
        <f>"320324199708012983"</f>
        <v>320324199708012983</v>
      </c>
      <c r="D1146" s="8" t="str">
        <f>"20200303825"</f>
        <v>20200303825</v>
      </c>
      <c r="E1146" s="9">
        <v>52.6</v>
      </c>
      <c r="F1146" s="9">
        <v>69</v>
      </c>
      <c r="G1146" s="9">
        <f t="shared" si="17"/>
        <v>121.6</v>
      </c>
      <c r="H1146" s="8"/>
    </row>
    <row r="1147" spans="1:8" ht="22.5" customHeight="1">
      <c r="A1147" s="8" t="s">
        <v>71</v>
      </c>
      <c r="B1147" s="8" t="str">
        <f>"刘清稳"</f>
        <v>刘清稳</v>
      </c>
      <c r="C1147" s="8" t="str">
        <f>"340321199505287615"</f>
        <v>340321199505287615</v>
      </c>
      <c r="D1147" s="8" t="str">
        <f>"20200303820"</f>
        <v>20200303820</v>
      </c>
      <c r="E1147" s="9">
        <v>52.5</v>
      </c>
      <c r="F1147" s="9">
        <v>69</v>
      </c>
      <c r="G1147" s="9">
        <f t="shared" si="17"/>
        <v>121.5</v>
      </c>
      <c r="H1147" s="8"/>
    </row>
    <row r="1148" spans="1:8" ht="22.5" customHeight="1">
      <c r="A1148" s="8" t="s">
        <v>71</v>
      </c>
      <c r="B1148" s="8" t="str">
        <f>"张迎春"</f>
        <v>张迎春</v>
      </c>
      <c r="C1148" s="8" t="str">
        <f>"341126198701056010"</f>
        <v>341126198701056010</v>
      </c>
      <c r="D1148" s="8" t="str">
        <f>"20200303901"</f>
        <v>20200303901</v>
      </c>
      <c r="E1148" s="9">
        <v>52.4</v>
      </c>
      <c r="F1148" s="9">
        <v>69</v>
      </c>
      <c r="G1148" s="9">
        <f t="shared" si="17"/>
        <v>121.4</v>
      </c>
      <c r="H1148" s="8"/>
    </row>
    <row r="1149" spans="1:8" ht="22.5" customHeight="1">
      <c r="A1149" s="8" t="s">
        <v>71</v>
      </c>
      <c r="B1149" s="8" t="str">
        <f>"王涛"</f>
        <v>王涛</v>
      </c>
      <c r="C1149" s="8" t="str">
        <f>"341102199210200237"</f>
        <v>341102199210200237</v>
      </c>
      <c r="D1149" s="8" t="str">
        <f>"20200303902"</f>
        <v>20200303902</v>
      </c>
      <c r="E1149" s="9">
        <v>51.7</v>
      </c>
      <c r="F1149" s="9">
        <v>69</v>
      </c>
      <c r="G1149" s="9">
        <f t="shared" si="17"/>
        <v>120.7</v>
      </c>
      <c r="H1149" s="8"/>
    </row>
    <row r="1150" spans="1:8" ht="22.5" customHeight="1">
      <c r="A1150" s="8" t="s">
        <v>71</v>
      </c>
      <c r="B1150" s="8" t="str">
        <f>"吴敏"</f>
        <v>吴敏</v>
      </c>
      <c r="C1150" s="8" t="str">
        <f>"341182199407286240"</f>
        <v>341182199407286240</v>
      </c>
      <c r="D1150" s="8" t="str">
        <f>"20200303912"</f>
        <v>20200303912</v>
      </c>
      <c r="E1150" s="9">
        <v>46.8</v>
      </c>
      <c r="F1150" s="9">
        <v>73.5</v>
      </c>
      <c r="G1150" s="9">
        <f t="shared" si="17"/>
        <v>120.3</v>
      </c>
      <c r="H1150" s="8"/>
    </row>
    <row r="1151" spans="1:8" ht="22.5" customHeight="1">
      <c r="A1151" s="8" t="s">
        <v>71</v>
      </c>
      <c r="B1151" s="8" t="str">
        <f>"张奇"</f>
        <v>张奇</v>
      </c>
      <c r="C1151" s="8" t="str">
        <f>"341126199602086024"</f>
        <v>341126199602086024</v>
      </c>
      <c r="D1151" s="8" t="str">
        <f>"20200303908"</f>
        <v>20200303908</v>
      </c>
      <c r="E1151" s="9">
        <v>53.2</v>
      </c>
      <c r="F1151" s="9">
        <v>66</v>
      </c>
      <c r="G1151" s="9">
        <f t="shared" si="17"/>
        <v>119.2</v>
      </c>
      <c r="H1151" s="8"/>
    </row>
    <row r="1152" spans="1:8" ht="22.5" customHeight="1">
      <c r="A1152" s="8" t="s">
        <v>71</v>
      </c>
      <c r="B1152" s="8" t="str">
        <f>"陈园"</f>
        <v>陈园</v>
      </c>
      <c r="C1152" s="8" t="str">
        <f>"341102198911291018"</f>
        <v>341102198911291018</v>
      </c>
      <c r="D1152" s="8" t="str">
        <f>"20200303828"</f>
        <v>20200303828</v>
      </c>
      <c r="E1152" s="9">
        <v>46.3</v>
      </c>
      <c r="F1152" s="9">
        <v>71</v>
      </c>
      <c r="G1152" s="9">
        <f t="shared" si="17"/>
        <v>117.3</v>
      </c>
      <c r="H1152" s="8"/>
    </row>
    <row r="1153" spans="1:8" ht="22.5" customHeight="1">
      <c r="A1153" s="8" t="s">
        <v>71</v>
      </c>
      <c r="B1153" s="8" t="str">
        <f>"韩靖"</f>
        <v>韩靖</v>
      </c>
      <c r="C1153" s="8" t="str">
        <f>"341126198801017537"</f>
        <v>341126198801017537</v>
      </c>
      <c r="D1153" s="8" t="str">
        <f>"20200303911"</f>
        <v>20200303911</v>
      </c>
      <c r="E1153" s="9">
        <v>48.6</v>
      </c>
      <c r="F1153" s="9">
        <v>68</v>
      </c>
      <c r="G1153" s="9">
        <f t="shared" si="17"/>
        <v>116.6</v>
      </c>
      <c r="H1153" s="8"/>
    </row>
    <row r="1154" spans="1:8" ht="22.5" customHeight="1">
      <c r="A1154" s="8" t="s">
        <v>71</v>
      </c>
      <c r="B1154" s="8" t="str">
        <f>"程茂冉"</f>
        <v>程茂冉</v>
      </c>
      <c r="C1154" s="8" t="str">
        <f>"341182199810292421"</f>
        <v>341182199810292421</v>
      </c>
      <c r="D1154" s="8" t="str">
        <f>"20200303826"</f>
        <v>20200303826</v>
      </c>
      <c r="E1154" s="9">
        <v>46.3</v>
      </c>
      <c r="F1154" s="9">
        <v>70</v>
      </c>
      <c r="G1154" s="9">
        <f t="shared" si="17"/>
        <v>116.3</v>
      </c>
      <c r="H1154" s="8"/>
    </row>
    <row r="1155" spans="1:8" ht="22.5" customHeight="1">
      <c r="A1155" s="8" t="s">
        <v>71</v>
      </c>
      <c r="B1155" s="8" t="str">
        <f>"单正锋"</f>
        <v>单正锋</v>
      </c>
      <c r="C1155" s="8" t="str">
        <f>"341125198706053998"</f>
        <v>341125198706053998</v>
      </c>
      <c r="D1155" s="8" t="str">
        <f>"20200303915"</f>
        <v>20200303915</v>
      </c>
      <c r="E1155" s="9">
        <v>48.9</v>
      </c>
      <c r="F1155" s="9">
        <v>67</v>
      </c>
      <c r="G1155" s="9">
        <f aca="true" t="shared" si="18" ref="G1155:G1218">E1155+F1155</f>
        <v>115.9</v>
      </c>
      <c r="H1155" s="8"/>
    </row>
    <row r="1156" spans="1:8" ht="22.5" customHeight="1">
      <c r="A1156" s="8" t="s">
        <v>71</v>
      </c>
      <c r="B1156" s="8" t="str">
        <f>"周建森"</f>
        <v>周建森</v>
      </c>
      <c r="C1156" s="8" t="str">
        <f>"32092519920508743X"</f>
        <v>32092519920508743X</v>
      </c>
      <c r="D1156" s="8" t="str">
        <f>"20200303821"</f>
        <v>20200303821</v>
      </c>
      <c r="E1156" s="9">
        <v>41.8</v>
      </c>
      <c r="F1156" s="9">
        <v>72.5</v>
      </c>
      <c r="G1156" s="9">
        <f t="shared" si="18"/>
        <v>114.3</v>
      </c>
      <c r="H1156" s="8"/>
    </row>
    <row r="1157" spans="1:8" ht="22.5" customHeight="1">
      <c r="A1157" s="8" t="s">
        <v>71</v>
      </c>
      <c r="B1157" s="8" t="str">
        <f>"金磊"</f>
        <v>金磊</v>
      </c>
      <c r="C1157" s="8" t="str">
        <f>"341182198808030217"</f>
        <v>341182198808030217</v>
      </c>
      <c r="D1157" s="8" t="str">
        <f>"20200303913"</f>
        <v>20200303913</v>
      </c>
      <c r="E1157" s="9">
        <v>48.1</v>
      </c>
      <c r="F1157" s="9">
        <v>65.5</v>
      </c>
      <c r="G1157" s="9">
        <f t="shared" si="18"/>
        <v>113.6</v>
      </c>
      <c r="H1157" s="8"/>
    </row>
    <row r="1158" spans="1:8" ht="22.5" customHeight="1">
      <c r="A1158" s="8" t="s">
        <v>71</v>
      </c>
      <c r="B1158" s="8" t="str">
        <f>"吴伟伟"</f>
        <v>吴伟伟</v>
      </c>
      <c r="C1158" s="8" t="str">
        <f>"341126199003210230"</f>
        <v>341126199003210230</v>
      </c>
      <c r="D1158" s="8" t="str">
        <f>"20200303823"</f>
        <v>20200303823</v>
      </c>
      <c r="E1158" s="9">
        <v>39.1</v>
      </c>
      <c r="F1158" s="9">
        <v>73</v>
      </c>
      <c r="G1158" s="9">
        <f t="shared" si="18"/>
        <v>112.1</v>
      </c>
      <c r="H1158" s="8"/>
    </row>
    <row r="1159" spans="1:8" ht="22.5" customHeight="1">
      <c r="A1159" s="8" t="s">
        <v>71</v>
      </c>
      <c r="B1159" s="8" t="str">
        <f>"熊言结"</f>
        <v>熊言结</v>
      </c>
      <c r="C1159" s="8" t="str">
        <f>"34118219920601621X"</f>
        <v>34118219920601621X</v>
      </c>
      <c r="D1159" s="8" t="str">
        <f>"20200303910"</f>
        <v>20200303910</v>
      </c>
      <c r="E1159" s="9">
        <v>42.2</v>
      </c>
      <c r="F1159" s="9">
        <v>68.5</v>
      </c>
      <c r="G1159" s="9">
        <f t="shared" si="18"/>
        <v>110.7</v>
      </c>
      <c r="H1159" s="8"/>
    </row>
    <row r="1160" spans="1:8" ht="22.5" customHeight="1">
      <c r="A1160" s="8" t="s">
        <v>71</v>
      </c>
      <c r="B1160" s="8" t="str">
        <f>"戴荣荣"</f>
        <v>戴荣荣</v>
      </c>
      <c r="C1160" s="8" t="str">
        <f>"341182199311123025"</f>
        <v>341182199311123025</v>
      </c>
      <c r="D1160" s="8" t="str">
        <f>"20200303904"</f>
        <v>20200303904</v>
      </c>
      <c r="E1160" s="9">
        <v>42.8</v>
      </c>
      <c r="F1160" s="9">
        <v>65.5</v>
      </c>
      <c r="G1160" s="9">
        <f t="shared" si="18"/>
        <v>108.3</v>
      </c>
      <c r="H1160" s="8"/>
    </row>
    <row r="1161" spans="1:8" ht="22.5" customHeight="1">
      <c r="A1161" s="8" t="s">
        <v>71</v>
      </c>
      <c r="B1161" s="8" t="str">
        <f>"王春阳"</f>
        <v>王春阳</v>
      </c>
      <c r="C1161" s="8" t="str">
        <f>"341126199102102120"</f>
        <v>341126199102102120</v>
      </c>
      <c r="D1161" s="8" t="str">
        <f>"20200303909"</f>
        <v>20200303909</v>
      </c>
      <c r="E1161" s="9">
        <v>34.6</v>
      </c>
      <c r="F1161" s="9">
        <v>64</v>
      </c>
      <c r="G1161" s="9">
        <f t="shared" si="18"/>
        <v>98.6</v>
      </c>
      <c r="H1161" s="8"/>
    </row>
    <row r="1162" spans="1:8" ht="22.5" customHeight="1">
      <c r="A1162" s="8" t="s">
        <v>71</v>
      </c>
      <c r="B1162" s="8" t="str">
        <f>"肖遥"</f>
        <v>肖遥</v>
      </c>
      <c r="C1162" s="8" t="str">
        <f>"230703199501121013"</f>
        <v>230703199501121013</v>
      </c>
      <c r="D1162" s="8" t="str">
        <f>"20200303907"</f>
        <v>20200303907</v>
      </c>
      <c r="E1162" s="9">
        <v>15.9</v>
      </c>
      <c r="F1162" s="9">
        <v>67.5</v>
      </c>
      <c r="G1162" s="9">
        <f t="shared" si="18"/>
        <v>83.4</v>
      </c>
      <c r="H1162" s="8"/>
    </row>
    <row r="1163" spans="1:8" ht="22.5" customHeight="1">
      <c r="A1163" s="8" t="s">
        <v>71</v>
      </c>
      <c r="B1163" s="8" t="str">
        <f>"孔凡斐"</f>
        <v>孔凡斐</v>
      </c>
      <c r="C1163" s="8" t="str">
        <f>"371323199208070814"</f>
        <v>371323199208070814</v>
      </c>
      <c r="D1163" s="8" t="str">
        <f>"20200303822"</f>
        <v>20200303822</v>
      </c>
      <c r="E1163" s="9">
        <v>0</v>
      </c>
      <c r="F1163" s="9">
        <v>0</v>
      </c>
      <c r="G1163" s="9">
        <f t="shared" si="18"/>
        <v>0</v>
      </c>
      <c r="H1163" s="8" t="s">
        <v>10</v>
      </c>
    </row>
    <row r="1164" spans="1:8" ht="22.5" customHeight="1">
      <c r="A1164" s="8" t="s">
        <v>72</v>
      </c>
      <c r="B1164" s="8" t="str">
        <f>"周伟业"</f>
        <v>周伟业</v>
      </c>
      <c r="C1164" s="8" t="str">
        <f>"341182199604040610"</f>
        <v>341182199604040610</v>
      </c>
      <c r="D1164" s="8" t="str">
        <f>"20200303924"</f>
        <v>20200303924</v>
      </c>
      <c r="E1164" s="9">
        <v>69</v>
      </c>
      <c r="F1164" s="9">
        <v>72</v>
      </c>
      <c r="G1164" s="9">
        <f t="shared" si="18"/>
        <v>141</v>
      </c>
      <c r="H1164" s="8"/>
    </row>
    <row r="1165" spans="1:8" ht="22.5" customHeight="1">
      <c r="A1165" s="8" t="s">
        <v>72</v>
      </c>
      <c r="B1165" s="8" t="str">
        <f>"许明星"</f>
        <v>许明星</v>
      </c>
      <c r="C1165" s="8" t="str">
        <f>"341182199607090613"</f>
        <v>341182199607090613</v>
      </c>
      <c r="D1165" s="8" t="str">
        <f>"20200303922"</f>
        <v>20200303922</v>
      </c>
      <c r="E1165" s="9">
        <v>61.1</v>
      </c>
      <c r="F1165" s="9">
        <v>73.5</v>
      </c>
      <c r="G1165" s="9">
        <f t="shared" si="18"/>
        <v>134.6</v>
      </c>
      <c r="H1165" s="8"/>
    </row>
    <row r="1166" spans="1:8" ht="22.5" customHeight="1">
      <c r="A1166" s="8" t="s">
        <v>72</v>
      </c>
      <c r="B1166" s="8" t="str">
        <f>"朱杰"</f>
        <v>朱杰</v>
      </c>
      <c r="C1166" s="8" t="str">
        <f>"340406199503202077"</f>
        <v>340406199503202077</v>
      </c>
      <c r="D1166" s="8" t="str">
        <f>"20200303923"</f>
        <v>20200303923</v>
      </c>
      <c r="E1166" s="9">
        <v>0</v>
      </c>
      <c r="F1166" s="9">
        <v>0</v>
      </c>
      <c r="G1166" s="9">
        <f t="shared" si="18"/>
        <v>0</v>
      </c>
      <c r="H1166" s="8" t="s">
        <v>10</v>
      </c>
    </row>
    <row r="1167" spans="1:8" ht="22.5" customHeight="1">
      <c r="A1167" s="8" t="s">
        <v>73</v>
      </c>
      <c r="B1167" s="8" t="str">
        <f>"王玉珏"</f>
        <v>王玉珏</v>
      </c>
      <c r="C1167" s="8" t="str">
        <f>"341182199309060037"</f>
        <v>341182199309060037</v>
      </c>
      <c r="D1167" s="8" t="str">
        <f>"20200303926"</f>
        <v>20200303926</v>
      </c>
      <c r="E1167" s="9">
        <v>52.1</v>
      </c>
      <c r="F1167" s="9">
        <v>68.5</v>
      </c>
      <c r="G1167" s="9">
        <f t="shared" si="18"/>
        <v>120.6</v>
      </c>
      <c r="H1167" s="8"/>
    </row>
    <row r="1168" spans="1:8" ht="22.5" customHeight="1">
      <c r="A1168" s="8" t="s">
        <v>73</v>
      </c>
      <c r="B1168" s="8" t="str">
        <f>"陶刚"</f>
        <v>陶刚</v>
      </c>
      <c r="C1168" s="8" t="str">
        <f>"340827198701186919"</f>
        <v>340827198701186919</v>
      </c>
      <c r="D1168" s="8" t="str">
        <f>"20200303925"</f>
        <v>20200303925</v>
      </c>
      <c r="E1168" s="9">
        <v>0</v>
      </c>
      <c r="F1168" s="9">
        <v>0</v>
      </c>
      <c r="G1168" s="9">
        <f t="shared" si="18"/>
        <v>0</v>
      </c>
      <c r="H1168" s="8" t="s">
        <v>10</v>
      </c>
    </row>
    <row r="1169" spans="1:8" ht="22.5" customHeight="1">
      <c r="A1169" s="8" t="s">
        <v>74</v>
      </c>
      <c r="B1169" s="8" t="str">
        <f>"王冬妮"</f>
        <v>王冬妮</v>
      </c>
      <c r="C1169" s="8" t="str">
        <f>"341182199605220621"</f>
        <v>341182199605220621</v>
      </c>
      <c r="D1169" s="8" t="str">
        <f>"20200304001"</f>
        <v>20200304001</v>
      </c>
      <c r="E1169" s="9">
        <v>82.6</v>
      </c>
      <c r="F1169" s="9">
        <v>72.5</v>
      </c>
      <c r="G1169" s="9">
        <f t="shared" si="18"/>
        <v>155.1</v>
      </c>
      <c r="H1169" s="8"/>
    </row>
    <row r="1170" spans="1:8" ht="22.5" customHeight="1">
      <c r="A1170" s="8" t="s">
        <v>74</v>
      </c>
      <c r="B1170" s="8" t="str">
        <f>"陈璐"</f>
        <v>陈璐</v>
      </c>
      <c r="C1170" s="8" t="str">
        <f>"341182199709280426"</f>
        <v>341182199709280426</v>
      </c>
      <c r="D1170" s="8" t="str">
        <f>"20200303929"</f>
        <v>20200303929</v>
      </c>
      <c r="E1170" s="9">
        <v>65.8</v>
      </c>
      <c r="F1170" s="9">
        <v>76.5</v>
      </c>
      <c r="G1170" s="9">
        <f t="shared" si="18"/>
        <v>142.3</v>
      </c>
      <c r="H1170" s="8"/>
    </row>
    <row r="1171" spans="1:8" ht="22.5" customHeight="1">
      <c r="A1171" s="8" t="s">
        <v>74</v>
      </c>
      <c r="B1171" s="8" t="str">
        <f>"李雪"</f>
        <v>李雪</v>
      </c>
      <c r="C1171" s="8" t="str">
        <f>"341182199608290449"</f>
        <v>341182199608290449</v>
      </c>
      <c r="D1171" s="8" t="str">
        <f>"20200304003"</f>
        <v>20200304003</v>
      </c>
      <c r="E1171" s="9">
        <v>65.6</v>
      </c>
      <c r="F1171" s="9">
        <v>72.5</v>
      </c>
      <c r="G1171" s="9">
        <f t="shared" si="18"/>
        <v>138.1</v>
      </c>
      <c r="H1171" s="8"/>
    </row>
    <row r="1172" spans="1:8" ht="22.5" customHeight="1">
      <c r="A1172" s="8" t="s">
        <v>74</v>
      </c>
      <c r="B1172" s="8" t="str">
        <f>"李黄新"</f>
        <v>李黄新</v>
      </c>
      <c r="C1172" s="8" t="str">
        <f>"341182199810102421"</f>
        <v>341182199810102421</v>
      </c>
      <c r="D1172" s="8" t="str">
        <f>"20200303928"</f>
        <v>20200303928</v>
      </c>
      <c r="E1172" s="9">
        <v>62.5</v>
      </c>
      <c r="F1172" s="9">
        <v>72.5</v>
      </c>
      <c r="G1172" s="9">
        <f t="shared" si="18"/>
        <v>135</v>
      </c>
      <c r="H1172" s="8"/>
    </row>
    <row r="1173" spans="1:8" ht="22.5" customHeight="1">
      <c r="A1173" s="8" t="s">
        <v>74</v>
      </c>
      <c r="B1173" s="8" t="str">
        <f>"魏陈峰"</f>
        <v>魏陈峰</v>
      </c>
      <c r="C1173" s="8" t="str">
        <f>"341182199702011039"</f>
        <v>341182199702011039</v>
      </c>
      <c r="D1173" s="8" t="str">
        <f>"20200304002"</f>
        <v>20200304002</v>
      </c>
      <c r="E1173" s="9">
        <v>62.9</v>
      </c>
      <c r="F1173" s="9">
        <v>67.5</v>
      </c>
      <c r="G1173" s="9">
        <f t="shared" si="18"/>
        <v>130.4</v>
      </c>
      <c r="H1173" s="8"/>
    </row>
    <row r="1174" spans="1:8" ht="22.5" customHeight="1">
      <c r="A1174" s="8" t="s">
        <v>74</v>
      </c>
      <c r="B1174" s="8" t="str">
        <f>"吴国超"</f>
        <v>吴国超</v>
      </c>
      <c r="C1174" s="8" t="str">
        <f>"341182199708251017"</f>
        <v>341182199708251017</v>
      </c>
      <c r="D1174" s="8" t="str">
        <f>"20200303930"</f>
        <v>20200303930</v>
      </c>
      <c r="E1174" s="9">
        <v>51.9</v>
      </c>
      <c r="F1174" s="9">
        <v>68</v>
      </c>
      <c r="G1174" s="9">
        <f t="shared" si="18"/>
        <v>119.9</v>
      </c>
      <c r="H1174" s="8"/>
    </row>
    <row r="1175" spans="1:8" ht="22.5" customHeight="1">
      <c r="A1175" s="8" t="s">
        <v>74</v>
      </c>
      <c r="B1175" s="8" t="str">
        <f>"李梦翾"</f>
        <v>李梦翾</v>
      </c>
      <c r="C1175" s="8" t="str">
        <f>"341182199806180021"</f>
        <v>341182199806180021</v>
      </c>
      <c r="D1175" s="8" t="str">
        <f>"20200303927"</f>
        <v>20200303927</v>
      </c>
      <c r="E1175" s="9">
        <v>35.6</v>
      </c>
      <c r="F1175" s="9">
        <v>53.5</v>
      </c>
      <c r="G1175" s="9">
        <f t="shared" si="18"/>
        <v>89.1</v>
      </c>
      <c r="H1175" s="8"/>
    </row>
    <row r="1176" spans="1:8" ht="22.5" customHeight="1">
      <c r="A1176" s="8" t="s">
        <v>75</v>
      </c>
      <c r="B1176" s="8" t="str">
        <f>"曹星星"</f>
        <v>曹星星</v>
      </c>
      <c r="C1176" s="8" t="str">
        <f>"341182199402113025"</f>
        <v>341182199402113025</v>
      </c>
      <c r="D1176" s="8" t="str">
        <f>"20200304004"</f>
        <v>20200304004</v>
      </c>
      <c r="E1176" s="9">
        <v>60.4</v>
      </c>
      <c r="F1176" s="9">
        <v>73</v>
      </c>
      <c r="G1176" s="9">
        <f t="shared" si="18"/>
        <v>133.4</v>
      </c>
      <c r="H1176" s="8"/>
    </row>
    <row r="1177" spans="1:8" ht="22.5" customHeight="1">
      <c r="A1177" s="8" t="s">
        <v>75</v>
      </c>
      <c r="B1177" s="8" t="str">
        <f>"刘想想"</f>
        <v>刘想想</v>
      </c>
      <c r="C1177" s="8" t="str">
        <f>"34082219931123202X"</f>
        <v>34082219931123202X</v>
      </c>
      <c r="D1177" s="8" t="str">
        <f>"20200304005"</f>
        <v>20200304005</v>
      </c>
      <c r="E1177" s="9">
        <v>0</v>
      </c>
      <c r="F1177" s="9">
        <v>0</v>
      </c>
      <c r="G1177" s="9">
        <f t="shared" si="18"/>
        <v>0</v>
      </c>
      <c r="H1177" s="8" t="s">
        <v>10</v>
      </c>
    </row>
    <row r="1178" spans="1:8" ht="22.5" customHeight="1">
      <c r="A1178" s="8" t="s">
        <v>75</v>
      </c>
      <c r="B1178" s="8" t="str">
        <f>"朱先海"</f>
        <v>朱先海</v>
      </c>
      <c r="C1178" s="8" t="str">
        <f>"340825199806053911"</f>
        <v>340825199806053911</v>
      </c>
      <c r="D1178" s="8" t="str">
        <f>"20200304006"</f>
        <v>20200304006</v>
      </c>
      <c r="E1178" s="9">
        <v>0</v>
      </c>
      <c r="F1178" s="9">
        <v>0</v>
      </c>
      <c r="G1178" s="9">
        <f t="shared" si="18"/>
        <v>0</v>
      </c>
      <c r="H1178" s="8" t="s">
        <v>10</v>
      </c>
    </row>
    <row r="1179" spans="1:8" ht="22.5" customHeight="1">
      <c r="A1179" s="8" t="s">
        <v>76</v>
      </c>
      <c r="B1179" s="8" t="str">
        <f>"朱倩倩"</f>
        <v>朱倩倩</v>
      </c>
      <c r="C1179" s="8" t="str">
        <f>"341103199405223822"</f>
        <v>341103199405223822</v>
      </c>
      <c r="D1179" s="8" t="str">
        <f>"20200304012"</f>
        <v>20200304012</v>
      </c>
      <c r="E1179" s="9">
        <v>64.7</v>
      </c>
      <c r="F1179" s="9">
        <v>70.5</v>
      </c>
      <c r="G1179" s="9">
        <f t="shared" si="18"/>
        <v>135.2</v>
      </c>
      <c r="H1179" s="8"/>
    </row>
    <row r="1180" spans="1:8" ht="22.5" customHeight="1">
      <c r="A1180" s="8" t="s">
        <v>76</v>
      </c>
      <c r="B1180" s="8" t="str">
        <f>"张海威"</f>
        <v>张海威</v>
      </c>
      <c r="C1180" s="8" t="str">
        <f>"341103199209103014"</f>
        <v>341103199209103014</v>
      </c>
      <c r="D1180" s="8" t="str">
        <f>"20200304010"</f>
        <v>20200304010</v>
      </c>
      <c r="E1180" s="9">
        <v>62.9</v>
      </c>
      <c r="F1180" s="9">
        <v>71.5</v>
      </c>
      <c r="G1180" s="9">
        <f t="shared" si="18"/>
        <v>134.4</v>
      </c>
      <c r="H1180" s="8"/>
    </row>
    <row r="1181" spans="1:8" ht="22.5" customHeight="1">
      <c r="A1181" s="8" t="s">
        <v>76</v>
      </c>
      <c r="B1181" s="8" t="str">
        <f>"周文辉"</f>
        <v>周文辉</v>
      </c>
      <c r="C1181" s="8" t="str">
        <f>"341127199502102425"</f>
        <v>341127199502102425</v>
      </c>
      <c r="D1181" s="8" t="str">
        <f>"20200304007"</f>
        <v>20200304007</v>
      </c>
      <c r="E1181" s="9">
        <v>60.1</v>
      </c>
      <c r="F1181" s="9">
        <v>71</v>
      </c>
      <c r="G1181" s="9">
        <f t="shared" si="18"/>
        <v>131.1</v>
      </c>
      <c r="H1181" s="8"/>
    </row>
    <row r="1182" spans="1:8" ht="22.5" customHeight="1">
      <c r="A1182" s="8" t="s">
        <v>76</v>
      </c>
      <c r="B1182" s="8" t="str">
        <f>"梅宇"</f>
        <v>梅宇</v>
      </c>
      <c r="C1182" s="8" t="str">
        <f>"341182199412065610"</f>
        <v>341182199412065610</v>
      </c>
      <c r="D1182" s="8" t="str">
        <f>"20200304013"</f>
        <v>20200304013</v>
      </c>
      <c r="E1182" s="9">
        <v>48.2</v>
      </c>
      <c r="F1182" s="9">
        <v>67</v>
      </c>
      <c r="G1182" s="9">
        <f t="shared" si="18"/>
        <v>115.2</v>
      </c>
      <c r="H1182" s="8"/>
    </row>
    <row r="1183" spans="1:8" ht="22.5" customHeight="1">
      <c r="A1183" s="8" t="s">
        <v>76</v>
      </c>
      <c r="B1183" s="8" t="str">
        <f>"李健"</f>
        <v>李健</v>
      </c>
      <c r="C1183" s="8" t="str">
        <f>"341225199003046513"</f>
        <v>341225199003046513</v>
      </c>
      <c r="D1183" s="8" t="str">
        <f>"20200304008"</f>
        <v>20200304008</v>
      </c>
      <c r="E1183" s="9">
        <v>0</v>
      </c>
      <c r="F1183" s="9">
        <v>0</v>
      </c>
      <c r="G1183" s="9">
        <f t="shared" si="18"/>
        <v>0</v>
      </c>
      <c r="H1183" s="8" t="s">
        <v>10</v>
      </c>
    </row>
    <row r="1184" spans="1:8" ht="22.5" customHeight="1">
      <c r="A1184" s="8" t="s">
        <v>76</v>
      </c>
      <c r="B1184" s="8" t="str">
        <f>"张波"</f>
        <v>张波</v>
      </c>
      <c r="C1184" s="8" t="str">
        <f>"341181199204254015"</f>
        <v>341181199204254015</v>
      </c>
      <c r="D1184" s="8" t="str">
        <f>"20200304009"</f>
        <v>20200304009</v>
      </c>
      <c r="E1184" s="9">
        <v>0</v>
      </c>
      <c r="F1184" s="9">
        <v>0</v>
      </c>
      <c r="G1184" s="9">
        <f t="shared" si="18"/>
        <v>0</v>
      </c>
      <c r="H1184" s="8" t="s">
        <v>10</v>
      </c>
    </row>
    <row r="1185" spans="1:8" ht="22.5" customHeight="1">
      <c r="A1185" s="8" t="s">
        <v>76</v>
      </c>
      <c r="B1185" s="8" t="str">
        <f>"张雪"</f>
        <v>张雪</v>
      </c>
      <c r="C1185" s="8" t="str">
        <f>"341182198510050020"</f>
        <v>341182198510050020</v>
      </c>
      <c r="D1185" s="8" t="str">
        <f>"20200304011"</f>
        <v>20200304011</v>
      </c>
      <c r="E1185" s="9">
        <v>0</v>
      </c>
      <c r="F1185" s="9">
        <v>0</v>
      </c>
      <c r="G1185" s="9">
        <f t="shared" si="18"/>
        <v>0</v>
      </c>
      <c r="H1185" s="8" t="s">
        <v>10</v>
      </c>
    </row>
    <row r="1186" spans="1:8" ht="22.5" customHeight="1">
      <c r="A1186" s="8" t="s">
        <v>77</v>
      </c>
      <c r="B1186" s="8" t="str">
        <f>"杨斌"</f>
        <v>杨斌</v>
      </c>
      <c r="C1186" s="8" t="str">
        <f>"342523199803165814"</f>
        <v>342523199803165814</v>
      </c>
      <c r="D1186" s="8" t="str">
        <f>"20200304015"</f>
        <v>20200304015</v>
      </c>
      <c r="E1186" s="9">
        <v>60.1</v>
      </c>
      <c r="F1186" s="9">
        <v>69</v>
      </c>
      <c r="G1186" s="9">
        <f t="shared" si="18"/>
        <v>129.1</v>
      </c>
      <c r="H1186" s="8"/>
    </row>
    <row r="1187" spans="1:8" ht="22.5" customHeight="1">
      <c r="A1187" s="8" t="s">
        <v>77</v>
      </c>
      <c r="B1187" s="8" t="str">
        <f>"丁云欢"</f>
        <v>丁云欢</v>
      </c>
      <c r="C1187" s="8" t="str">
        <f>"34118219971227422X"</f>
        <v>34118219971227422X</v>
      </c>
      <c r="D1187" s="8" t="str">
        <f>"20200304014"</f>
        <v>20200304014</v>
      </c>
      <c r="E1187" s="9">
        <v>49.5</v>
      </c>
      <c r="F1187" s="9">
        <v>70.5</v>
      </c>
      <c r="G1187" s="9">
        <f t="shared" si="18"/>
        <v>120</v>
      </c>
      <c r="H1187" s="8"/>
    </row>
    <row r="1188" spans="1:8" ht="22.5" customHeight="1">
      <c r="A1188" s="8" t="s">
        <v>77</v>
      </c>
      <c r="B1188" s="8" t="str">
        <f>"戚雪利"</f>
        <v>戚雪利</v>
      </c>
      <c r="C1188" s="8" t="str">
        <f>"342224199704141227"</f>
        <v>342224199704141227</v>
      </c>
      <c r="D1188" s="8" t="str">
        <f>"20200304016"</f>
        <v>20200304016</v>
      </c>
      <c r="E1188" s="9">
        <v>0</v>
      </c>
      <c r="F1188" s="9">
        <v>0</v>
      </c>
      <c r="G1188" s="9">
        <f t="shared" si="18"/>
        <v>0</v>
      </c>
      <c r="H1188" s="8" t="s">
        <v>10</v>
      </c>
    </row>
    <row r="1189" spans="1:8" ht="22.5" customHeight="1">
      <c r="A1189" s="8" t="s">
        <v>78</v>
      </c>
      <c r="B1189" s="8" t="str">
        <f>"张寅春"</f>
        <v>张寅春</v>
      </c>
      <c r="C1189" s="8" t="str">
        <f>"34112519980224668X"</f>
        <v>34112519980224668X</v>
      </c>
      <c r="D1189" s="8" t="str">
        <f>"20200304022"</f>
        <v>20200304022</v>
      </c>
      <c r="E1189" s="9">
        <v>68.6</v>
      </c>
      <c r="F1189" s="9">
        <v>73.5</v>
      </c>
      <c r="G1189" s="9">
        <f t="shared" si="18"/>
        <v>142.1</v>
      </c>
      <c r="H1189" s="8"/>
    </row>
    <row r="1190" spans="1:8" ht="22.5" customHeight="1">
      <c r="A1190" s="8" t="s">
        <v>78</v>
      </c>
      <c r="B1190" s="8" t="str">
        <f>"娄伟健"</f>
        <v>娄伟健</v>
      </c>
      <c r="C1190" s="8" t="str">
        <f>"341182199611190211"</f>
        <v>341182199611190211</v>
      </c>
      <c r="D1190" s="8" t="str">
        <f>"20200304020"</f>
        <v>20200304020</v>
      </c>
      <c r="E1190" s="9">
        <v>58.5</v>
      </c>
      <c r="F1190" s="9">
        <v>71</v>
      </c>
      <c r="G1190" s="9">
        <f t="shared" si="18"/>
        <v>129.5</v>
      </c>
      <c r="H1190" s="8"/>
    </row>
    <row r="1191" spans="1:8" ht="22.5" customHeight="1">
      <c r="A1191" s="8" t="s">
        <v>78</v>
      </c>
      <c r="B1191" s="8" t="str">
        <f>"陈磊"</f>
        <v>陈磊</v>
      </c>
      <c r="C1191" s="8" t="str">
        <f>"341182199207203615"</f>
        <v>341182199207203615</v>
      </c>
      <c r="D1191" s="8" t="str">
        <f>"20200304017"</f>
        <v>20200304017</v>
      </c>
      <c r="E1191" s="9">
        <v>52.5</v>
      </c>
      <c r="F1191" s="9">
        <v>70</v>
      </c>
      <c r="G1191" s="9">
        <f t="shared" si="18"/>
        <v>122.5</v>
      </c>
      <c r="H1191" s="8"/>
    </row>
    <row r="1192" spans="1:8" ht="22.5" customHeight="1">
      <c r="A1192" s="8" t="s">
        <v>78</v>
      </c>
      <c r="B1192" s="8" t="str">
        <f>"王建国"</f>
        <v>王建国</v>
      </c>
      <c r="C1192" s="8" t="str">
        <f>"340103199102092510"</f>
        <v>340103199102092510</v>
      </c>
      <c r="D1192" s="8" t="str">
        <f>"20200304021"</f>
        <v>20200304021</v>
      </c>
      <c r="E1192" s="9">
        <v>48.2</v>
      </c>
      <c r="F1192" s="9">
        <v>69</v>
      </c>
      <c r="G1192" s="9">
        <f t="shared" si="18"/>
        <v>117.2</v>
      </c>
      <c r="H1192" s="8"/>
    </row>
    <row r="1193" spans="1:8" ht="22.5" customHeight="1">
      <c r="A1193" s="8" t="s">
        <v>78</v>
      </c>
      <c r="B1193" s="8" t="str">
        <f>"王秀雨"</f>
        <v>王秀雨</v>
      </c>
      <c r="C1193" s="8" t="str">
        <f>"34118219960816301X"</f>
        <v>34118219960816301X</v>
      </c>
      <c r="D1193" s="8" t="str">
        <f>"20200304018"</f>
        <v>20200304018</v>
      </c>
      <c r="E1193" s="9">
        <v>0</v>
      </c>
      <c r="F1193" s="9">
        <v>0</v>
      </c>
      <c r="G1193" s="9">
        <f t="shared" si="18"/>
        <v>0</v>
      </c>
      <c r="H1193" s="8" t="s">
        <v>10</v>
      </c>
    </row>
    <row r="1194" spans="1:8" ht="22.5" customHeight="1">
      <c r="A1194" s="8" t="s">
        <v>78</v>
      </c>
      <c r="B1194" s="8" t="str">
        <f>"刘义豪"</f>
        <v>刘义豪</v>
      </c>
      <c r="C1194" s="8" t="str">
        <f>"342423199001026171"</f>
        <v>342423199001026171</v>
      </c>
      <c r="D1194" s="8" t="str">
        <f>"20200304019"</f>
        <v>20200304019</v>
      </c>
      <c r="E1194" s="9">
        <v>0</v>
      </c>
      <c r="F1194" s="9">
        <v>0</v>
      </c>
      <c r="G1194" s="9">
        <f t="shared" si="18"/>
        <v>0</v>
      </c>
      <c r="H1194" s="8" t="s">
        <v>10</v>
      </c>
    </row>
    <row r="1195" spans="1:8" ht="22.5" customHeight="1">
      <c r="A1195" s="8" t="s">
        <v>79</v>
      </c>
      <c r="B1195" s="8" t="str">
        <f>"薛雨"</f>
        <v>薛雨</v>
      </c>
      <c r="C1195" s="8" t="str">
        <f>"341182199412263844"</f>
        <v>341182199412263844</v>
      </c>
      <c r="D1195" s="8" t="str">
        <f>"20200304028"</f>
        <v>20200304028</v>
      </c>
      <c r="E1195" s="9">
        <v>68</v>
      </c>
      <c r="F1195" s="9">
        <v>72</v>
      </c>
      <c r="G1195" s="9">
        <f t="shared" si="18"/>
        <v>140</v>
      </c>
      <c r="H1195" s="8"/>
    </row>
    <row r="1196" spans="1:8" ht="22.5" customHeight="1">
      <c r="A1196" s="8" t="s">
        <v>79</v>
      </c>
      <c r="B1196" s="8" t="str">
        <f>"唐志念"</f>
        <v>唐志念</v>
      </c>
      <c r="C1196" s="8" t="str">
        <f>"34118219900520621X"</f>
        <v>34118219900520621X</v>
      </c>
      <c r="D1196" s="8" t="str">
        <f>"20200304027"</f>
        <v>20200304027</v>
      </c>
      <c r="E1196" s="9">
        <v>57</v>
      </c>
      <c r="F1196" s="9">
        <v>70</v>
      </c>
      <c r="G1196" s="9">
        <f t="shared" si="18"/>
        <v>127</v>
      </c>
      <c r="H1196" s="8"/>
    </row>
    <row r="1197" spans="1:8" ht="22.5" customHeight="1">
      <c r="A1197" s="8" t="s">
        <v>79</v>
      </c>
      <c r="B1197" s="8" t="str">
        <f>"王括"</f>
        <v>王括</v>
      </c>
      <c r="C1197" s="8" t="str">
        <f>"341182199108102237"</f>
        <v>341182199108102237</v>
      </c>
      <c r="D1197" s="8" t="str">
        <f>"20200304023"</f>
        <v>20200304023</v>
      </c>
      <c r="E1197" s="9">
        <v>56.8</v>
      </c>
      <c r="F1197" s="9">
        <v>70</v>
      </c>
      <c r="G1197" s="9">
        <f t="shared" si="18"/>
        <v>126.8</v>
      </c>
      <c r="H1197" s="8"/>
    </row>
    <row r="1198" spans="1:8" ht="22.5" customHeight="1">
      <c r="A1198" s="8" t="s">
        <v>79</v>
      </c>
      <c r="B1198" s="8" t="str">
        <f>"孔洁"</f>
        <v>孔洁</v>
      </c>
      <c r="C1198" s="8" t="str">
        <f>"341182199210030225"</f>
        <v>341182199210030225</v>
      </c>
      <c r="D1198" s="8" t="str">
        <f>"20200304026"</f>
        <v>20200304026</v>
      </c>
      <c r="E1198" s="9">
        <v>51.8</v>
      </c>
      <c r="F1198" s="9">
        <v>69.5</v>
      </c>
      <c r="G1198" s="9">
        <f t="shared" si="18"/>
        <v>121.3</v>
      </c>
      <c r="H1198" s="8"/>
    </row>
    <row r="1199" spans="1:8" ht="22.5" customHeight="1">
      <c r="A1199" s="8" t="s">
        <v>79</v>
      </c>
      <c r="B1199" s="8" t="str">
        <f>"王娟"</f>
        <v>王娟</v>
      </c>
      <c r="C1199" s="8" t="str">
        <f>"341227198705275503"</f>
        <v>341227198705275503</v>
      </c>
      <c r="D1199" s="8" t="str">
        <f>"20200304024"</f>
        <v>20200304024</v>
      </c>
      <c r="E1199" s="9">
        <v>50.5</v>
      </c>
      <c r="F1199" s="9">
        <v>65.5</v>
      </c>
      <c r="G1199" s="9">
        <f t="shared" si="18"/>
        <v>116</v>
      </c>
      <c r="H1199" s="8"/>
    </row>
    <row r="1200" spans="1:8" ht="22.5" customHeight="1">
      <c r="A1200" s="8" t="s">
        <v>79</v>
      </c>
      <c r="B1200" s="8" t="str">
        <f>"金天宇"</f>
        <v>金天宇</v>
      </c>
      <c r="C1200" s="8" t="str">
        <f>"341126199305140012"</f>
        <v>341126199305140012</v>
      </c>
      <c r="D1200" s="8" t="str">
        <f>"20200304025"</f>
        <v>20200304025</v>
      </c>
      <c r="E1200" s="9">
        <v>0</v>
      </c>
      <c r="F1200" s="9">
        <v>0</v>
      </c>
      <c r="G1200" s="9">
        <f t="shared" si="18"/>
        <v>0</v>
      </c>
      <c r="H1200" s="8" t="s">
        <v>10</v>
      </c>
    </row>
    <row r="1201" spans="1:8" ht="22.5" customHeight="1">
      <c r="A1201" s="8" t="s">
        <v>79</v>
      </c>
      <c r="B1201" s="8" t="str">
        <f>"许守飞"</f>
        <v>许守飞</v>
      </c>
      <c r="C1201" s="8" t="str">
        <f>"341182199701202415"</f>
        <v>341182199701202415</v>
      </c>
      <c r="D1201" s="8" t="str">
        <f>"20200304029"</f>
        <v>20200304029</v>
      </c>
      <c r="E1201" s="9">
        <v>0</v>
      </c>
      <c r="F1201" s="9">
        <v>0</v>
      </c>
      <c r="G1201" s="9">
        <f t="shared" si="18"/>
        <v>0</v>
      </c>
      <c r="H1201" s="8" t="s">
        <v>10</v>
      </c>
    </row>
    <row r="1202" spans="1:8" ht="22.5" customHeight="1">
      <c r="A1202" s="8" t="s">
        <v>80</v>
      </c>
      <c r="B1202" s="8" t="str">
        <f>"王寅初"</f>
        <v>王寅初</v>
      </c>
      <c r="C1202" s="8" t="str">
        <f>"34032219980402001X"</f>
        <v>34032219980402001X</v>
      </c>
      <c r="D1202" s="8" t="str">
        <f>"20200304105"</f>
        <v>20200304105</v>
      </c>
      <c r="E1202" s="9">
        <v>60.5</v>
      </c>
      <c r="F1202" s="9">
        <v>70.5</v>
      </c>
      <c r="G1202" s="9">
        <f t="shared" si="18"/>
        <v>131</v>
      </c>
      <c r="H1202" s="8"/>
    </row>
    <row r="1203" spans="1:8" ht="22.5" customHeight="1">
      <c r="A1203" s="8" t="s">
        <v>80</v>
      </c>
      <c r="B1203" s="8" t="str">
        <f>"蔡凌鑫"</f>
        <v>蔡凌鑫</v>
      </c>
      <c r="C1203" s="8" t="str">
        <f>"34118219981015001X"</f>
        <v>34118219981015001X</v>
      </c>
      <c r="D1203" s="8" t="str">
        <f>"20200304102"</f>
        <v>20200304102</v>
      </c>
      <c r="E1203" s="9">
        <v>57</v>
      </c>
      <c r="F1203" s="9">
        <v>73.5</v>
      </c>
      <c r="G1203" s="9">
        <f t="shared" si="18"/>
        <v>130.5</v>
      </c>
      <c r="H1203" s="8"/>
    </row>
    <row r="1204" spans="1:8" ht="22.5" customHeight="1">
      <c r="A1204" s="8" t="s">
        <v>80</v>
      </c>
      <c r="B1204" s="8" t="str">
        <f>"李彤"</f>
        <v>李彤</v>
      </c>
      <c r="C1204" s="8" t="str">
        <f>"341182199708020446"</f>
        <v>341182199708020446</v>
      </c>
      <c r="D1204" s="8" t="str">
        <f>"20200304107"</f>
        <v>20200304107</v>
      </c>
      <c r="E1204" s="9">
        <v>57.1</v>
      </c>
      <c r="F1204" s="9">
        <v>72.5</v>
      </c>
      <c r="G1204" s="9">
        <f t="shared" si="18"/>
        <v>129.6</v>
      </c>
      <c r="H1204" s="8"/>
    </row>
    <row r="1205" spans="1:8" ht="22.5" customHeight="1">
      <c r="A1205" s="8" t="s">
        <v>80</v>
      </c>
      <c r="B1205" s="8" t="str">
        <f>"冯静"</f>
        <v>冯静</v>
      </c>
      <c r="C1205" s="8" t="str">
        <f>"341182199703011823"</f>
        <v>341182199703011823</v>
      </c>
      <c r="D1205" s="8" t="str">
        <f>"20200304112"</f>
        <v>20200304112</v>
      </c>
      <c r="E1205" s="9">
        <v>43.9</v>
      </c>
      <c r="F1205" s="9">
        <v>76</v>
      </c>
      <c r="G1205" s="9">
        <f t="shared" si="18"/>
        <v>119.9</v>
      </c>
      <c r="H1205" s="8"/>
    </row>
    <row r="1206" spans="1:8" ht="22.5" customHeight="1">
      <c r="A1206" s="8" t="s">
        <v>80</v>
      </c>
      <c r="B1206" s="8" t="str">
        <f>"管彤婕"</f>
        <v>管彤婕</v>
      </c>
      <c r="C1206" s="8" t="str">
        <f>"341126199804210222"</f>
        <v>341126199804210222</v>
      </c>
      <c r="D1206" s="8" t="str">
        <f>"20200304110"</f>
        <v>20200304110</v>
      </c>
      <c r="E1206" s="9">
        <v>53.2</v>
      </c>
      <c r="F1206" s="9">
        <v>66.5</v>
      </c>
      <c r="G1206" s="9">
        <f t="shared" si="18"/>
        <v>119.7</v>
      </c>
      <c r="H1206" s="8"/>
    </row>
    <row r="1207" spans="1:8" ht="22.5" customHeight="1">
      <c r="A1207" s="8" t="s">
        <v>80</v>
      </c>
      <c r="B1207" s="8" t="str">
        <f>"刘连杰"</f>
        <v>刘连杰</v>
      </c>
      <c r="C1207" s="8" t="str">
        <f>"34118119980912001X"</f>
        <v>34118119980912001X</v>
      </c>
      <c r="D1207" s="8" t="str">
        <f>"20200304103"</f>
        <v>20200304103</v>
      </c>
      <c r="E1207" s="9">
        <v>48.5</v>
      </c>
      <c r="F1207" s="9">
        <v>71</v>
      </c>
      <c r="G1207" s="9">
        <f t="shared" si="18"/>
        <v>119.5</v>
      </c>
      <c r="H1207" s="8"/>
    </row>
    <row r="1208" spans="1:8" ht="22.5" customHeight="1">
      <c r="A1208" s="8" t="s">
        <v>80</v>
      </c>
      <c r="B1208" s="8" t="str">
        <f>"朱荣荣"</f>
        <v>朱荣荣</v>
      </c>
      <c r="C1208" s="8" t="str">
        <f>"341182199806203027"</f>
        <v>341182199806203027</v>
      </c>
      <c r="D1208" s="8" t="str">
        <f>"20200304101"</f>
        <v>20200304101</v>
      </c>
      <c r="E1208" s="9">
        <v>47.3</v>
      </c>
      <c r="F1208" s="9">
        <v>71</v>
      </c>
      <c r="G1208" s="9">
        <f t="shared" si="18"/>
        <v>118.3</v>
      </c>
      <c r="H1208" s="8"/>
    </row>
    <row r="1209" spans="1:8" ht="22.5" customHeight="1">
      <c r="A1209" s="8" t="s">
        <v>80</v>
      </c>
      <c r="B1209" s="8" t="str">
        <f>"张悦"</f>
        <v>张悦</v>
      </c>
      <c r="C1209" s="8" t="str">
        <f>"34118219980710264X"</f>
        <v>34118219980710264X</v>
      </c>
      <c r="D1209" s="8" t="str">
        <f>"20200304106"</f>
        <v>20200304106</v>
      </c>
      <c r="E1209" s="9">
        <v>44</v>
      </c>
      <c r="F1209" s="9">
        <v>71</v>
      </c>
      <c r="G1209" s="9">
        <f t="shared" si="18"/>
        <v>115</v>
      </c>
      <c r="H1209" s="8"/>
    </row>
    <row r="1210" spans="1:8" ht="22.5" customHeight="1">
      <c r="A1210" s="8" t="s">
        <v>80</v>
      </c>
      <c r="B1210" s="8" t="str">
        <f>"孟菘城"</f>
        <v>孟菘城</v>
      </c>
      <c r="C1210" s="8" t="str">
        <f>"341181199708010014"</f>
        <v>341181199708010014</v>
      </c>
      <c r="D1210" s="8" t="str">
        <f>"20200304109"</f>
        <v>20200304109</v>
      </c>
      <c r="E1210" s="9">
        <v>43.8</v>
      </c>
      <c r="F1210" s="9">
        <v>70.5</v>
      </c>
      <c r="G1210" s="9">
        <f t="shared" si="18"/>
        <v>114.3</v>
      </c>
      <c r="H1210" s="8"/>
    </row>
    <row r="1211" spans="1:8" ht="22.5" customHeight="1">
      <c r="A1211" s="8" t="s">
        <v>80</v>
      </c>
      <c r="B1211" s="8" t="str">
        <f>"周杰"</f>
        <v>周杰</v>
      </c>
      <c r="C1211" s="8" t="str">
        <f>"341182199708150646"</f>
        <v>341182199708150646</v>
      </c>
      <c r="D1211" s="8" t="str">
        <f>"20200304108"</f>
        <v>20200304108</v>
      </c>
      <c r="E1211" s="9">
        <v>38.5</v>
      </c>
      <c r="F1211" s="9">
        <v>73</v>
      </c>
      <c r="G1211" s="9">
        <f t="shared" si="18"/>
        <v>111.5</v>
      </c>
      <c r="H1211" s="8"/>
    </row>
    <row r="1212" spans="1:8" ht="22.5" customHeight="1">
      <c r="A1212" s="8" t="s">
        <v>80</v>
      </c>
      <c r="B1212" s="8" t="str">
        <f>"鲁晨"</f>
        <v>鲁晨</v>
      </c>
      <c r="C1212" s="8" t="str">
        <f>"32098119981230197X"</f>
        <v>32098119981230197X</v>
      </c>
      <c r="D1212" s="8" t="str">
        <f>"20200304113"</f>
        <v>20200304113</v>
      </c>
      <c r="E1212" s="9">
        <v>39.7</v>
      </c>
      <c r="F1212" s="9">
        <v>71</v>
      </c>
      <c r="G1212" s="9">
        <f t="shared" si="18"/>
        <v>110.7</v>
      </c>
      <c r="H1212" s="8"/>
    </row>
    <row r="1213" spans="1:8" ht="22.5" customHeight="1">
      <c r="A1213" s="8" t="s">
        <v>80</v>
      </c>
      <c r="B1213" s="8" t="str">
        <f>"邵羿"</f>
        <v>邵羿</v>
      </c>
      <c r="C1213" s="8" t="str">
        <f>"341182199712130218"</f>
        <v>341182199712130218</v>
      </c>
      <c r="D1213" s="8" t="str">
        <f>"20200304111"</f>
        <v>20200304111</v>
      </c>
      <c r="E1213" s="9">
        <v>39.1</v>
      </c>
      <c r="F1213" s="9">
        <v>64.5</v>
      </c>
      <c r="G1213" s="9">
        <f t="shared" si="18"/>
        <v>103.6</v>
      </c>
      <c r="H1213" s="8"/>
    </row>
    <row r="1214" spans="1:8" ht="22.5" customHeight="1">
      <c r="A1214" s="8" t="s">
        <v>80</v>
      </c>
      <c r="B1214" s="8" t="str">
        <f>"阚雪"</f>
        <v>阚雪</v>
      </c>
      <c r="C1214" s="8" t="str">
        <f>"341182199801234625"</f>
        <v>341182199801234625</v>
      </c>
      <c r="D1214" s="8" t="str">
        <f>"20200304114"</f>
        <v>20200304114</v>
      </c>
      <c r="E1214" s="9">
        <v>30.8</v>
      </c>
      <c r="F1214" s="9">
        <v>70</v>
      </c>
      <c r="G1214" s="9">
        <f t="shared" si="18"/>
        <v>100.8</v>
      </c>
      <c r="H1214" s="8"/>
    </row>
    <row r="1215" spans="1:8" ht="22.5" customHeight="1">
      <c r="A1215" s="8" t="s">
        <v>80</v>
      </c>
      <c r="B1215" s="8" t="str">
        <f>"王志强"</f>
        <v>王志强</v>
      </c>
      <c r="C1215" s="8" t="str">
        <f>"340323199903026018"</f>
        <v>340323199903026018</v>
      </c>
      <c r="D1215" s="8" t="str">
        <f>"20200304030"</f>
        <v>20200304030</v>
      </c>
      <c r="E1215" s="9">
        <v>0</v>
      </c>
      <c r="F1215" s="9">
        <v>0</v>
      </c>
      <c r="G1215" s="9">
        <f t="shared" si="18"/>
        <v>0</v>
      </c>
      <c r="H1215" s="8" t="s">
        <v>10</v>
      </c>
    </row>
    <row r="1216" spans="1:8" ht="22.5" customHeight="1">
      <c r="A1216" s="8" t="s">
        <v>80</v>
      </c>
      <c r="B1216" s="8" t="str">
        <f>"王坤"</f>
        <v>王坤</v>
      </c>
      <c r="C1216" s="8" t="str">
        <f>"341126199802220216"</f>
        <v>341126199802220216</v>
      </c>
      <c r="D1216" s="8" t="str">
        <f>"20200304104"</f>
        <v>20200304104</v>
      </c>
      <c r="E1216" s="9">
        <v>0</v>
      </c>
      <c r="F1216" s="9">
        <v>0</v>
      </c>
      <c r="G1216" s="9">
        <f t="shared" si="18"/>
        <v>0</v>
      </c>
      <c r="H1216" s="8" t="s">
        <v>10</v>
      </c>
    </row>
    <row r="1217" spans="1:8" ht="22.5" customHeight="1">
      <c r="A1217" s="8" t="s">
        <v>81</v>
      </c>
      <c r="B1217" s="8" t="str">
        <f>"阚一智"</f>
        <v>阚一智</v>
      </c>
      <c r="C1217" s="8" t="str">
        <f>"341182199809240421"</f>
        <v>341182199809240421</v>
      </c>
      <c r="D1217" s="8" t="str">
        <f>"20200304123"</f>
        <v>20200304123</v>
      </c>
      <c r="E1217" s="9">
        <v>69.8</v>
      </c>
      <c r="F1217" s="9">
        <v>68.5</v>
      </c>
      <c r="G1217" s="9">
        <f t="shared" si="18"/>
        <v>138.3</v>
      </c>
      <c r="H1217" s="8"/>
    </row>
    <row r="1218" spans="1:8" ht="22.5" customHeight="1">
      <c r="A1218" s="8" t="s">
        <v>81</v>
      </c>
      <c r="B1218" s="8" t="str">
        <f>"殷高炎"</f>
        <v>殷高炎</v>
      </c>
      <c r="C1218" s="8" t="str">
        <f>"341127199611043612"</f>
        <v>341127199611043612</v>
      </c>
      <c r="D1218" s="8" t="str">
        <f>"20200304209"</f>
        <v>20200304209</v>
      </c>
      <c r="E1218" s="9">
        <v>65.8</v>
      </c>
      <c r="F1218" s="9">
        <v>71</v>
      </c>
      <c r="G1218" s="9">
        <f t="shared" si="18"/>
        <v>136.8</v>
      </c>
      <c r="H1218" s="8"/>
    </row>
    <row r="1219" spans="1:8" ht="22.5" customHeight="1">
      <c r="A1219" s="8" t="s">
        <v>81</v>
      </c>
      <c r="B1219" s="8" t="str">
        <f>"陈国威"</f>
        <v>陈国威</v>
      </c>
      <c r="C1219" s="8" t="str">
        <f>"341182199711010417"</f>
        <v>341182199711010417</v>
      </c>
      <c r="D1219" s="8" t="str">
        <f>"20200304206"</f>
        <v>20200304206</v>
      </c>
      <c r="E1219" s="9">
        <v>57</v>
      </c>
      <c r="F1219" s="9">
        <v>72</v>
      </c>
      <c r="G1219" s="9">
        <f aca="true" t="shared" si="19" ref="G1219:G1282">E1219+F1219</f>
        <v>129</v>
      </c>
      <c r="H1219" s="8"/>
    </row>
    <row r="1220" spans="1:8" ht="22.5" customHeight="1">
      <c r="A1220" s="8" t="s">
        <v>81</v>
      </c>
      <c r="B1220" s="8" t="str">
        <f>"孟凡日"</f>
        <v>孟凡日</v>
      </c>
      <c r="C1220" s="8" t="str">
        <f>"341182199509253810"</f>
        <v>341182199509253810</v>
      </c>
      <c r="D1220" s="8" t="str">
        <f>"20200304208"</f>
        <v>20200304208</v>
      </c>
      <c r="E1220" s="9">
        <v>62.4</v>
      </c>
      <c r="F1220" s="9">
        <v>65</v>
      </c>
      <c r="G1220" s="9">
        <f t="shared" si="19"/>
        <v>127.4</v>
      </c>
      <c r="H1220" s="8"/>
    </row>
    <row r="1221" spans="1:8" ht="22.5" customHeight="1">
      <c r="A1221" s="8" t="s">
        <v>81</v>
      </c>
      <c r="B1221" s="8" t="str">
        <f>"李照明"</f>
        <v>李照明</v>
      </c>
      <c r="C1221" s="8" t="str">
        <f>"340304199603061218"</f>
        <v>340304199603061218</v>
      </c>
      <c r="D1221" s="8" t="str">
        <f>"20200304117"</f>
        <v>20200304117</v>
      </c>
      <c r="E1221" s="9">
        <v>58.5</v>
      </c>
      <c r="F1221" s="9">
        <v>68.5</v>
      </c>
      <c r="G1221" s="9">
        <f t="shared" si="19"/>
        <v>127</v>
      </c>
      <c r="H1221" s="8"/>
    </row>
    <row r="1222" spans="1:8" ht="22.5" customHeight="1">
      <c r="A1222" s="8" t="s">
        <v>81</v>
      </c>
      <c r="B1222" s="8" t="str">
        <f>"张敏"</f>
        <v>张敏</v>
      </c>
      <c r="C1222" s="8" t="str">
        <f>"341182199901053629"</f>
        <v>341182199901053629</v>
      </c>
      <c r="D1222" s="8" t="str">
        <f>"20200304202"</f>
        <v>20200304202</v>
      </c>
      <c r="E1222" s="9">
        <v>51.3</v>
      </c>
      <c r="F1222" s="9">
        <v>75.5</v>
      </c>
      <c r="G1222" s="9">
        <f t="shared" si="19"/>
        <v>126.8</v>
      </c>
      <c r="H1222" s="8"/>
    </row>
    <row r="1223" spans="1:8" ht="22.5" customHeight="1">
      <c r="A1223" s="8" t="s">
        <v>81</v>
      </c>
      <c r="B1223" s="8" t="str">
        <f>"吴慧军"</f>
        <v>吴慧军</v>
      </c>
      <c r="C1223" s="8" t="str">
        <f>"341182199805192215"</f>
        <v>341182199805192215</v>
      </c>
      <c r="D1223" s="8" t="str">
        <f>"20200304127"</f>
        <v>20200304127</v>
      </c>
      <c r="E1223" s="9">
        <v>51.2</v>
      </c>
      <c r="F1223" s="9">
        <v>73</v>
      </c>
      <c r="G1223" s="9">
        <f t="shared" si="19"/>
        <v>124.2</v>
      </c>
      <c r="H1223" s="8"/>
    </row>
    <row r="1224" spans="1:8" ht="22.5" customHeight="1">
      <c r="A1224" s="8" t="s">
        <v>81</v>
      </c>
      <c r="B1224" s="8" t="str">
        <f>"汤大帅"</f>
        <v>汤大帅</v>
      </c>
      <c r="C1224" s="8" t="str">
        <f>"341127199706283619"</f>
        <v>341127199706283619</v>
      </c>
      <c r="D1224" s="8" t="str">
        <f>"20200304204"</f>
        <v>20200304204</v>
      </c>
      <c r="E1224" s="9">
        <v>53.9</v>
      </c>
      <c r="F1224" s="9">
        <v>68.5</v>
      </c>
      <c r="G1224" s="9">
        <f t="shared" si="19"/>
        <v>122.4</v>
      </c>
      <c r="H1224" s="8"/>
    </row>
    <row r="1225" spans="1:8" ht="22.5" customHeight="1">
      <c r="A1225" s="8" t="s">
        <v>81</v>
      </c>
      <c r="B1225" s="8" t="str">
        <f>"戴张辉"</f>
        <v>戴张辉</v>
      </c>
      <c r="C1225" s="8" t="str">
        <f>"341182199803052024"</f>
        <v>341182199803052024</v>
      </c>
      <c r="D1225" s="8" t="str">
        <f>"20200304130"</f>
        <v>20200304130</v>
      </c>
      <c r="E1225" s="9">
        <v>48.8</v>
      </c>
      <c r="F1225" s="9">
        <v>72</v>
      </c>
      <c r="G1225" s="9">
        <f t="shared" si="19"/>
        <v>120.8</v>
      </c>
      <c r="H1225" s="8"/>
    </row>
    <row r="1226" spans="1:8" ht="22.5" customHeight="1">
      <c r="A1226" s="8" t="s">
        <v>81</v>
      </c>
      <c r="B1226" s="8" t="str">
        <f>"何晓嫚"</f>
        <v>何晓嫚</v>
      </c>
      <c r="C1226" s="8" t="str">
        <f>"341127199806062020"</f>
        <v>341127199806062020</v>
      </c>
      <c r="D1226" s="8" t="str">
        <f>"20200304207"</f>
        <v>20200304207</v>
      </c>
      <c r="E1226" s="9">
        <v>46.8</v>
      </c>
      <c r="F1226" s="9">
        <v>73</v>
      </c>
      <c r="G1226" s="9">
        <f t="shared" si="19"/>
        <v>119.8</v>
      </c>
      <c r="H1226" s="8"/>
    </row>
    <row r="1227" spans="1:8" ht="22.5" customHeight="1">
      <c r="A1227" s="8" t="s">
        <v>81</v>
      </c>
      <c r="B1227" s="8" t="str">
        <f>"陈宇"</f>
        <v>陈宇</v>
      </c>
      <c r="C1227" s="8" t="str">
        <f>"341182199703242824"</f>
        <v>341182199703242824</v>
      </c>
      <c r="D1227" s="8" t="str">
        <f>"20200304118"</f>
        <v>20200304118</v>
      </c>
      <c r="E1227" s="9">
        <v>45.7</v>
      </c>
      <c r="F1227" s="9">
        <v>72.5</v>
      </c>
      <c r="G1227" s="9">
        <f t="shared" si="19"/>
        <v>118.2</v>
      </c>
      <c r="H1227" s="8"/>
    </row>
    <row r="1228" spans="1:8" ht="22.5" customHeight="1">
      <c r="A1228" s="8" t="s">
        <v>81</v>
      </c>
      <c r="B1228" s="8" t="str">
        <f>"陈慧"</f>
        <v>陈慧</v>
      </c>
      <c r="C1228" s="8" t="str">
        <f>"341182199612100628"</f>
        <v>341182199612100628</v>
      </c>
      <c r="D1228" s="8" t="str">
        <f>"20200304128"</f>
        <v>20200304128</v>
      </c>
      <c r="E1228" s="9">
        <v>46.8</v>
      </c>
      <c r="F1228" s="9">
        <v>71</v>
      </c>
      <c r="G1228" s="9">
        <f t="shared" si="19"/>
        <v>117.8</v>
      </c>
      <c r="H1228" s="8"/>
    </row>
    <row r="1229" spans="1:8" ht="22.5" customHeight="1">
      <c r="A1229" s="8" t="s">
        <v>81</v>
      </c>
      <c r="B1229" s="8" t="str">
        <f>"孙伟"</f>
        <v>孙伟</v>
      </c>
      <c r="C1229" s="8" t="str">
        <f>"341182199705070050"</f>
        <v>341182199705070050</v>
      </c>
      <c r="D1229" s="8" t="str">
        <f>"20200304211"</f>
        <v>20200304211</v>
      </c>
      <c r="E1229" s="9">
        <v>44.8</v>
      </c>
      <c r="F1229" s="9">
        <v>71.5</v>
      </c>
      <c r="G1229" s="9">
        <f t="shared" si="19"/>
        <v>116.3</v>
      </c>
      <c r="H1229" s="8"/>
    </row>
    <row r="1230" spans="1:8" ht="22.5" customHeight="1">
      <c r="A1230" s="8" t="s">
        <v>81</v>
      </c>
      <c r="B1230" s="8" t="str">
        <f>"尤本琦"</f>
        <v>尤本琦</v>
      </c>
      <c r="C1230" s="8" t="str">
        <f>"341182199812043429"</f>
        <v>341182199812043429</v>
      </c>
      <c r="D1230" s="8" t="str">
        <f>"20200304201"</f>
        <v>20200304201</v>
      </c>
      <c r="E1230" s="9">
        <v>44.2</v>
      </c>
      <c r="F1230" s="9">
        <v>69</v>
      </c>
      <c r="G1230" s="9">
        <f t="shared" si="19"/>
        <v>113.2</v>
      </c>
      <c r="H1230" s="8"/>
    </row>
    <row r="1231" spans="1:8" ht="22.5" customHeight="1">
      <c r="A1231" s="8" t="s">
        <v>81</v>
      </c>
      <c r="B1231" s="8" t="str">
        <f>"张毅涵"</f>
        <v>张毅涵</v>
      </c>
      <c r="C1231" s="8" t="str">
        <f>"341182199906240044"</f>
        <v>341182199906240044</v>
      </c>
      <c r="D1231" s="8" t="str">
        <f>"20200304116"</f>
        <v>20200304116</v>
      </c>
      <c r="E1231" s="9">
        <v>39.4</v>
      </c>
      <c r="F1231" s="9">
        <v>73</v>
      </c>
      <c r="G1231" s="9">
        <f t="shared" si="19"/>
        <v>112.4</v>
      </c>
      <c r="H1231" s="8"/>
    </row>
    <row r="1232" spans="1:8" ht="22.5" customHeight="1">
      <c r="A1232" s="8" t="s">
        <v>81</v>
      </c>
      <c r="B1232" s="8" t="str">
        <f>"吕顺"</f>
        <v>吕顺</v>
      </c>
      <c r="C1232" s="8" t="str">
        <f>"341182199808160235"</f>
        <v>341182199808160235</v>
      </c>
      <c r="D1232" s="8" t="str">
        <f>"20200304120"</f>
        <v>20200304120</v>
      </c>
      <c r="E1232" s="9">
        <v>45.2</v>
      </c>
      <c r="F1232" s="9">
        <v>66</v>
      </c>
      <c r="G1232" s="9">
        <f t="shared" si="19"/>
        <v>111.2</v>
      </c>
      <c r="H1232" s="8"/>
    </row>
    <row r="1233" spans="1:8" ht="22.5" customHeight="1">
      <c r="A1233" s="8" t="s">
        <v>81</v>
      </c>
      <c r="B1233" s="8" t="str">
        <f>"丰金安"</f>
        <v>丰金安</v>
      </c>
      <c r="C1233" s="8" t="str">
        <f>"341182199810192017"</f>
        <v>341182199810192017</v>
      </c>
      <c r="D1233" s="8" t="str">
        <f>"20200304115"</f>
        <v>20200304115</v>
      </c>
      <c r="E1233" s="9">
        <v>40.5</v>
      </c>
      <c r="F1233" s="9">
        <v>68.5</v>
      </c>
      <c r="G1233" s="9">
        <f t="shared" si="19"/>
        <v>109</v>
      </c>
      <c r="H1233" s="8"/>
    </row>
    <row r="1234" spans="1:8" ht="22.5" customHeight="1">
      <c r="A1234" s="8" t="s">
        <v>81</v>
      </c>
      <c r="B1234" s="8" t="str">
        <f>"蔡中杰"</f>
        <v>蔡中杰</v>
      </c>
      <c r="C1234" s="8" t="str">
        <f>"34118219990923001X"</f>
        <v>34118219990923001X</v>
      </c>
      <c r="D1234" s="8" t="str">
        <f>"20200304203"</f>
        <v>20200304203</v>
      </c>
      <c r="E1234" s="9">
        <v>39.4</v>
      </c>
      <c r="F1234" s="9">
        <v>69.5</v>
      </c>
      <c r="G1234" s="9">
        <f t="shared" si="19"/>
        <v>108.9</v>
      </c>
      <c r="H1234" s="8"/>
    </row>
    <row r="1235" spans="1:8" ht="22.5" customHeight="1">
      <c r="A1235" s="8" t="s">
        <v>81</v>
      </c>
      <c r="B1235" s="8" t="str">
        <f>"杨正琪"</f>
        <v>杨正琪</v>
      </c>
      <c r="C1235" s="8" t="str">
        <f>"341182199808090425"</f>
        <v>341182199808090425</v>
      </c>
      <c r="D1235" s="8" t="str">
        <f>"20200304210"</f>
        <v>20200304210</v>
      </c>
      <c r="E1235" s="9">
        <v>40.1</v>
      </c>
      <c r="F1235" s="9">
        <v>68.5</v>
      </c>
      <c r="G1235" s="9">
        <f t="shared" si="19"/>
        <v>108.6</v>
      </c>
      <c r="H1235" s="8"/>
    </row>
    <row r="1236" spans="1:8" ht="22.5" customHeight="1">
      <c r="A1236" s="8" t="s">
        <v>81</v>
      </c>
      <c r="B1236" s="8" t="str">
        <f>"王悦"</f>
        <v>王悦</v>
      </c>
      <c r="C1236" s="8" t="str">
        <f>"341127199905132426"</f>
        <v>341127199905132426</v>
      </c>
      <c r="D1236" s="8" t="str">
        <f>"20200304126"</f>
        <v>20200304126</v>
      </c>
      <c r="E1236" s="9">
        <v>33.3</v>
      </c>
      <c r="F1236" s="9">
        <v>71.5</v>
      </c>
      <c r="G1236" s="9">
        <f t="shared" si="19"/>
        <v>104.8</v>
      </c>
      <c r="H1236" s="8"/>
    </row>
    <row r="1237" spans="1:8" ht="22.5" customHeight="1">
      <c r="A1237" s="8" t="s">
        <v>81</v>
      </c>
      <c r="B1237" s="8" t="str">
        <f>"藏博文"</f>
        <v>藏博文</v>
      </c>
      <c r="C1237" s="8" t="str">
        <f>"341182199904076455"</f>
        <v>341182199904076455</v>
      </c>
      <c r="D1237" s="8" t="str">
        <f>"20200304121"</f>
        <v>20200304121</v>
      </c>
      <c r="E1237" s="9">
        <v>38.1</v>
      </c>
      <c r="F1237" s="9">
        <v>65.5</v>
      </c>
      <c r="G1237" s="9">
        <f t="shared" si="19"/>
        <v>103.6</v>
      </c>
      <c r="H1237" s="8"/>
    </row>
    <row r="1238" spans="1:8" ht="22.5" customHeight="1">
      <c r="A1238" s="8" t="s">
        <v>81</v>
      </c>
      <c r="B1238" s="8" t="str">
        <f>"张雪莲"</f>
        <v>张雪莲</v>
      </c>
      <c r="C1238" s="8" t="str">
        <f>"341182199702154427"</f>
        <v>341182199702154427</v>
      </c>
      <c r="D1238" s="8" t="str">
        <f>"20200304129"</f>
        <v>20200304129</v>
      </c>
      <c r="E1238" s="9">
        <v>34.4</v>
      </c>
      <c r="F1238" s="9">
        <v>68</v>
      </c>
      <c r="G1238" s="9">
        <f t="shared" si="19"/>
        <v>102.4</v>
      </c>
      <c r="H1238" s="8"/>
    </row>
    <row r="1239" spans="1:8" ht="22.5" customHeight="1">
      <c r="A1239" s="8" t="s">
        <v>81</v>
      </c>
      <c r="B1239" s="8" t="str">
        <f>"李鑫"</f>
        <v>李鑫</v>
      </c>
      <c r="C1239" s="8" t="str">
        <f>"341182199803270013"</f>
        <v>341182199803270013</v>
      </c>
      <c r="D1239" s="8" t="str">
        <f>"20200304122"</f>
        <v>20200304122</v>
      </c>
      <c r="E1239" s="9">
        <v>40.5</v>
      </c>
      <c r="F1239" s="9">
        <v>61</v>
      </c>
      <c r="G1239" s="9">
        <f t="shared" si="19"/>
        <v>101.5</v>
      </c>
      <c r="H1239" s="8"/>
    </row>
    <row r="1240" spans="1:8" ht="22.5" customHeight="1">
      <c r="A1240" s="8" t="s">
        <v>81</v>
      </c>
      <c r="B1240" s="8" t="str">
        <f>"徐颖"</f>
        <v>徐颖</v>
      </c>
      <c r="C1240" s="8" t="str">
        <f>"34118219990218062X"</f>
        <v>34118219990218062X</v>
      </c>
      <c r="D1240" s="8" t="str">
        <f>"20200304125"</f>
        <v>20200304125</v>
      </c>
      <c r="E1240" s="9">
        <v>34.1</v>
      </c>
      <c r="F1240" s="9">
        <v>65</v>
      </c>
      <c r="G1240" s="9">
        <f t="shared" si="19"/>
        <v>99.1</v>
      </c>
      <c r="H1240" s="8"/>
    </row>
    <row r="1241" spans="1:8" ht="22.5" customHeight="1">
      <c r="A1241" s="8" t="s">
        <v>81</v>
      </c>
      <c r="B1241" s="8" t="str">
        <f>"李敏"</f>
        <v>李敏</v>
      </c>
      <c r="C1241" s="8" t="str">
        <f>"341182199708022425"</f>
        <v>341182199708022425</v>
      </c>
      <c r="D1241" s="8" t="str">
        <f>"20200304205"</f>
        <v>20200304205</v>
      </c>
      <c r="E1241" s="9">
        <v>29.7</v>
      </c>
      <c r="F1241" s="9">
        <v>57</v>
      </c>
      <c r="G1241" s="9">
        <f t="shared" si="19"/>
        <v>86.7</v>
      </c>
      <c r="H1241" s="8"/>
    </row>
    <row r="1242" spans="1:8" ht="22.5" customHeight="1">
      <c r="A1242" s="8" t="s">
        <v>81</v>
      </c>
      <c r="B1242" s="8" t="str">
        <f>"袁磊"</f>
        <v>袁磊</v>
      </c>
      <c r="C1242" s="8" t="str">
        <f>"34118219980201363X"</f>
        <v>34118219980201363X</v>
      </c>
      <c r="D1242" s="8" t="str">
        <f>"20200304119"</f>
        <v>20200304119</v>
      </c>
      <c r="E1242" s="9">
        <v>0</v>
      </c>
      <c r="F1242" s="9">
        <v>0</v>
      </c>
      <c r="G1242" s="9">
        <f t="shared" si="19"/>
        <v>0</v>
      </c>
      <c r="H1242" s="8" t="s">
        <v>10</v>
      </c>
    </row>
    <row r="1243" spans="1:8" ht="22.5" customHeight="1">
      <c r="A1243" s="8" t="s">
        <v>81</v>
      </c>
      <c r="B1243" s="8" t="str">
        <f>"吕阳"</f>
        <v>吕阳</v>
      </c>
      <c r="C1243" s="8" t="str">
        <f>"341182199812233214"</f>
        <v>341182199812233214</v>
      </c>
      <c r="D1243" s="8" t="str">
        <f>"20200304124"</f>
        <v>20200304124</v>
      </c>
      <c r="E1243" s="9">
        <v>0</v>
      </c>
      <c r="F1243" s="9">
        <v>0</v>
      </c>
      <c r="G1243" s="9">
        <f t="shared" si="19"/>
        <v>0</v>
      </c>
      <c r="H1243" s="8" t="s">
        <v>10</v>
      </c>
    </row>
    <row r="1244" spans="1:8" ht="22.5" customHeight="1">
      <c r="A1244" s="8" t="s">
        <v>82</v>
      </c>
      <c r="B1244" s="8" t="str">
        <f>"樊恒阳"</f>
        <v>樊恒阳</v>
      </c>
      <c r="C1244" s="8" t="str">
        <f>"341182199908300215"</f>
        <v>341182199908300215</v>
      </c>
      <c r="D1244" s="8" t="str">
        <f>"20200304212"</f>
        <v>20200304212</v>
      </c>
      <c r="E1244" s="9">
        <v>69.6</v>
      </c>
      <c r="F1244" s="9">
        <v>70.5</v>
      </c>
      <c r="G1244" s="9">
        <f t="shared" si="19"/>
        <v>140.1</v>
      </c>
      <c r="H1244" s="8"/>
    </row>
    <row r="1245" spans="1:8" ht="22.5" customHeight="1">
      <c r="A1245" s="8" t="s">
        <v>82</v>
      </c>
      <c r="B1245" s="8" t="str">
        <f>"周润雨"</f>
        <v>周润雨</v>
      </c>
      <c r="C1245" s="8" t="str">
        <f>"341126199701096332"</f>
        <v>341126199701096332</v>
      </c>
      <c r="D1245" s="8" t="str">
        <f>"20200304213"</f>
        <v>20200304213</v>
      </c>
      <c r="E1245" s="9">
        <v>57.1</v>
      </c>
      <c r="F1245" s="9">
        <v>70</v>
      </c>
      <c r="G1245" s="9">
        <f t="shared" si="19"/>
        <v>127.1</v>
      </c>
      <c r="H1245" s="8"/>
    </row>
    <row r="1246" spans="1:8" ht="22.5" customHeight="1">
      <c r="A1246" s="8" t="s">
        <v>82</v>
      </c>
      <c r="B1246" s="8" t="str">
        <f>"张悦"</f>
        <v>张悦</v>
      </c>
      <c r="C1246" s="8" t="str">
        <f>"341182199911230625"</f>
        <v>341182199911230625</v>
      </c>
      <c r="D1246" s="8" t="str">
        <f>"20200304222"</f>
        <v>20200304222</v>
      </c>
      <c r="E1246" s="9">
        <v>58.9</v>
      </c>
      <c r="F1246" s="9">
        <v>65.5</v>
      </c>
      <c r="G1246" s="9">
        <f t="shared" si="19"/>
        <v>124.4</v>
      </c>
      <c r="H1246" s="8"/>
    </row>
    <row r="1247" spans="1:8" ht="22.5" customHeight="1">
      <c r="A1247" s="8" t="s">
        <v>82</v>
      </c>
      <c r="B1247" s="8" t="str">
        <f>"周小海"</f>
        <v>周小海</v>
      </c>
      <c r="C1247" s="8" t="str">
        <f>"341182199908040214"</f>
        <v>341182199908040214</v>
      </c>
      <c r="D1247" s="8" t="str">
        <f>"20200304221"</f>
        <v>20200304221</v>
      </c>
      <c r="E1247" s="9">
        <v>53</v>
      </c>
      <c r="F1247" s="9">
        <v>70.5</v>
      </c>
      <c r="G1247" s="9">
        <f t="shared" si="19"/>
        <v>123.5</v>
      </c>
      <c r="H1247" s="8"/>
    </row>
    <row r="1248" spans="1:8" ht="22.5" customHeight="1">
      <c r="A1248" s="8" t="s">
        <v>82</v>
      </c>
      <c r="B1248" s="8" t="str">
        <f>"王洁"</f>
        <v>王洁</v>
      </c>
      <c r="C1248" s="8" t="str">
        <f>"341182199711240028"</f>
        <v>341182199711240028</v>
      </c>
      <c r="D1248" s="8" t="str">
        <f>"20200304225"</f>
        <v>20200304225</v>
      </c>
      <c r="E1248" s="9">
        <v>46.9</v>
      </c>
      <c r="F1248" s="9">
        <v>75.5</v>
      </c>
      <c r="G1248" s="9">
        <f t="shared" si="19"/>
        <v>122.4</v>
      </c>
      <c r="H1248" s="8"/>
    </row>
    <row r="1249" spans="1:8" ht="22.5" customHeight="1">
      <c r="A1249" s="8" t="s">
        <v>82</v>
      </c>
      <c r="B1249" s="8" t="str">
        <f>"谷磊"</f>
        <v>谷磊</v>
      </c>
      <c r="C1249" s="8" t="str">
        <f>"341126199711220413"</f>
        <v>341126199711220413</v>
      </c>
      <c r="D1249" s="8" t="str">
        <f>"20200304214"</f>
        <v>20200304214</v>
      </c>
      <c r="E1249" s="9">
        <v>53</v>
      </c>
      <c r="F1249" s="9">
        <v>68.5</v>
      </c>
      <c r="G1249" s="9">
        <f t="shared" si="19"/>
        <v>121.5</v>
      </c>
      <c r="H1249" s="8"/>
    </row>
    <row r="1250" spans="1:8" ht="22.5" customHeight="1">
      <c r="A1250" s="8" t="s">
        <v>82</v>
      </c>
      <c r="B1250" s="8" t="str">
        <f>"郁鹏"</f>
        <v>郁鹏</v>
      </c>
      <c r="C1250" s="8" t="str">
        <f>"341182199809012656"</f>
        <v>341182199809012656</v>
      </c>
      <c r="D1250" s="8" t="str">
        <f>"20200304217"</f>
        <v>20200304217</v>
      </c>
      <c r="E1250" s="9">
        <v>49.5</v>
      </c>
      <c r="F1250" s="9">
        <v>69</v>
      </c>
      <c r="G1250" s="9">
        <f t="shared" si="19"/>
        <v>118.5</v>
      </c>
      <c r="H1250" s="8"/>
    </row>
    <row r="1251" spans="1:8" ht="22.5" customHeight="1">
      <c r="A1251" s="8" t="s">
        <v>82</v>
      </c>
      <c r="B1251" s="8" t="str">
        <f>"戴敏荣"</f>
        <v>戴敏荣</v>
      </c>
      <c r="C1251" s="8" t="str">
        <f>"341127199904162025"</f>
        <v>341127199904162025</v>
      </c>
      <c r="D1251" s="8" t="str">
        <f>"20200304219"</f>
        <v>20200304219</v>
      </c>
      <c r="E1251" s="9">
        <v>43.3</v>
      </c>
      <c r="F1251" s="9">
        <v>73</v>
      </c>
      <c r="G1251" s="9">
        <f t="shared" si="19"/>
        <v>116.3</v>
      </c>
      <c r="H1251" s="8"/>
    </row>
    <row r="1252" spans="1:8" ht="22.5" customHeight="1">
      <c r="A1252" s="8" t="s">
        <v>82</v>
      </c>
      <c r="B1252" s="8" t="str">
        <f>"李彩芬"</f>
        <v>李彩芬</v>
      </c>
      <c r="C1252" s="8" t="str">
        <f>"341182199701195622"</f>
        <v>341182199701195622</v>
      </c>
      <c r="D1252" s="8" t="str">
        <f>"20200304216"</f>
        <v>20200304216</v>
      </c>
      <c r="E1252" s="9">
        <v>46.6</v>
      </c>
      <c r="F1252" s="9">
        <v>69</v>
      </c>
      <c r="G1252" s="9">
        <f t="shared" si="19"/>
        <v>115.6</v>
      </c>
      <c r="H1252" s="8"/>
    </row>
    <row r="1253" spans="1:8" ht="22.5" customHeight="1">
      <c r="A1253" s="8" t="s">
        <v>82</v>
      </c>
      <c r="B1253" s="8" t="str">
        <f>"闫少冉"</f>
        <v>闫少冉</v>
      </c>
      <c r="C1253" s="8" t="str">
        <f>"341182199711091026"</f>
        <v>341182199711091026</v>
      </c>
      <c r="D1253" s="8" t="str">
        <f>"20200304223"</f>
        <v>20200304223</v>
      </c>
      <c r="E1253" s="9">
        <v>40.9</v>
      </c>
      <c r="F1253" s="9">
        <v>74.5</v>
      </c>
      <c r="G1253" s="9">
        <f t="shared" si="19"/>
        <v>115.4</v>
      </c>
      <c r="H1253" s="8"/>
    </row>
    <row r="1254" spans="1:8" ht="22.5" customHeight="1">
      <c r="A1254" s="8" t="s">
        <v>82</v>
      </c>
      <c r="B1254" s="8" t="str">
        <f>"张凯成"</f>
        <v>张凯成</v>
      </c>
      <c r="C1254" s="8" t="str">
        <f>"341182199605232411"</f>
        <v>341182199605232411</v>
      </c>
      <c r="D1254" s="8" t="str">
        <f>"20200304215"</f>
        <v>20200304215</v>
      </c>
      <c r="E1254" s="9">
        <v>46.8</v>
      </c>
      <c r="F1254" s="9">
        <v>68</v>
      </c>
      <c r="G1254" s="9">
        <f t="shared" si="19"/>
        <v>114.8</v>
      </c>
      <c r="H1254" s="8"/>
    </row>
    <row r="1255" spans="1:8" ht="22.5" customHeight="1">
      <c r="A1255" s="8" t="s">
        <v>82</v>
      </c>
      <c r="B1255" s="8" t="str">
        <f>"艾宇"</f>
        <v>艾宇</v>
      </c>
      <c r="C1255" s="8" t="str">
        <f>"342601199910163010"</f>
        <v>342601199910163010</v>
      </c>
      <c r="D1255" s="8" t="str">
        <f>"20200304229"</f>
        <v>20200304229</v>
      </c>
      <c r="E1255" s="9">
        <v>44.9</v>
      </c>
      <c r="F1255" s="9">
        <v>69.5</v>
      </c>
      <c r="G1255" s="9">
        <f t="shared" si="19"/>
        <v>114.4</v>
      </c>
      <c r="H1255" s="8"/>
    </row>
    <row r="1256" spans="1:8" ht="22.5" customHeight="1">
      <c r="A1256" s="8" t="s">
        <v>82</v>
      </c>
      <c r="B1256" s="8" t="str">
        <f>"申怡"</f>
        <v>申怡</v>
      </c>
      <c r="C1256" s="8" t="str">
        <f>"341182199905263623"</f>
        <v>341182199905263623</v>
      </c>
      <c r="D1256" s="8" t="str">
        <f>"20200304228"</f>
        <v>20200304228</v>
      </c>
      <c r="E1256" s="9">
        <v>42.9</v>
      </c>
      <c r="F1256" s="9">
        <v>67.5</v>
      </c>
      <c r="G1256" s="9">
        <f t="shared" si="19"/>
        <v>110.4</v>
      </c>
      <c r="H1256" s="8"/>
    </row>
    <row r="1257" spans="1:8" ht="22.5" customHeight="1">
      <c r="A1257" s="8" t="s">
        <v>82</v>
      </c>
      <c r="B1257" s="8" t="str">
        <f>"丁京京"</f>
        <v>丁京京</v>
      </c>
      <c r="C1257" s="8" t="str">
        <f>"341182199901223624"</f>
        <v>341182199901223624</v>
      </c>
      <c r="D1257" s="8" t="str">
        <f>"20200304227"</f>
        <v>20200304227</v>
      </c>
      <c r="E1257" s="9">
        <v>37.8</v>
      </c>
      <c r="F1257" s="9">
        <v>68</v>
      </c>
      <c r="G1257" s="9">
        <f t="shared" si="19"/>
        <v>105.8</v>
      </c>
      <c r="H1257" s="8"/>
    </row>
    <row r="1258" spans="1:8" ht="22.5" customHeight="1">
      <c r="A1258" s="8" t="s">
        <v>82</v>
      </c>
      <c r="B1258" s="8" t="str">
        <f>"阚雅倩"</f>
        <v>阚雅倩</v>
      </c>
      <c r="C1258" s="8" t="str">
        <f>"341182199810314643"</f>
        <v>341182199810314643</v>
      </c>
      <c r="D1258" s="8" t="str">
        <f>"20200304220"</f>
        <v>20200304220</v>
      </c>
      <c r="E1258" s="9">
        <v>35.7</v>
      </c>
      <c r="F1258" s="9">
        <v>70</v>
      </c>
      <c r="G1258" s="9">
        <f t="shared" si="19"/>
        <v>105.7</v>
      </c>
      <c r="H1258" s="8"/>
    </row>
    <row r="1259" spans="1:8" ht="22.5" customHeight="1">
      <c r="A1259" s="8" t="s">
        <v>82</v>
      </c>
      <c r="B1259" s="8" t="str">
        <f>"柳春雨"</f>
        <v>柳春雨</v>
      </c>
      <c r="C1259" s="8" t="str">
        <f>"341182199803250418"</f>
        <v>341182199803250418</v>
      </c>
      <c r="D1259" s="8" t="str">
        <f>"20200304224"</f>
        <v>20200304224</v>
      </c>
      <c r="E1259" s="9">
        <v>42.4</v>
      </c>
      <c r="F1259" s="9">
        <v>63</v>
      </c>
      <c r="G1259" s="9">
        <f t="shared" si="19"/>
        <v>105.4</v>
      </c>
      <c r="H1259" s="8"/>
    </row>
    <row r="1260" spans="1:8" ht="22.5" customHeight="1">
      <c r="A1260" s="8" t="s">
        <v>82</v>
      </c>
      <c r="B1260" s="8" t="str">
        <f>"董梦雅"</f>
        <v>董梦雅</v>
      </c>
      <c r="C1260" s="8" t="str">
        <f>"341126199608157823"</f>
        <v>341126199608157823</v>
      </c>
      <c r="D1260" s="8" t="str">
        <f>"20200304226"</f>
        <v>20200304226</v>
      </c>
      <c r="E1260" s="9">
        <v>36.9</v>
      </c>
      <c r="F1260" s="9">
        <v>68.5</v>
      </c>
      <c r="G1260" s="9">
        <f t="shared" si="19"/>
        <v>105.4</v>
      </c>
      <c r="H1260" s="8"/>
    </row>
    <row r="1261" spans="1:8" ht="22.5" customHeight="1">
      <c r="A1261" s="8" t="s">
        <v>82</v>
      </c>
      <c r="B1261" s="8" t="str">
        <f>"张浩"</f>
        <v>张浩</v>
      </c>
      <c r="C1261" s="8" t="str">
        <f>"341182199808256413"</f>
        <v>341182199808256413</v>
      </c>
      <c r="D1261" s="8" t="str">
        <f>"20200304301"</f>
        <v>20200304301</v>
      </c>
      <c r="E1261" s="9">
        <v>39.6</v>
      </c>
      <c r="F1261" s="9">
        <v>65</v>
      </c>
      <c r="G1261" s="9">
        <f t="shared" si="19"/>
        <v>104.6</v>
      </c>
      <c r="H1261" s="8"/>
    </row>
    <row r="1262" spans="1:8" ht="22.5" customHeight="1">
      <c r="A1262" s="8" t="s">
        <v>82</v>
      </c>
      <c r="B1262" s="8" t="str">
        <f>"杨俊"</f>
        <v>杨俊</v>
      </c>
      <c r="C1262" s="8" t="str">
        <f>"341182199509186216"</f>
        <v>341182199509186216</v>
      </c>
      <c r="D1262" s="8" t="str">
        <f>"20200304230"</f>
        <v>20200304230</v>
      </c>
      <c r="E1262" s="9">
        <v>30</v>
      </c>
      <c r="F1262" s="9">
        <v>38</v>
      </c>
      <c r="G1262" s="9">
        <f t="shared" si="19"/>
        <v>68</v>
      </c>
      <c r="H1262" s="8"/>
    </row>
    <row r="1263" spans="1:8" ht="22.5" customHeight="1">
      <c r="A1263" s="8" t="s">
        <v>82</v>
      </c>
      <c r="B1263" s="8" t="str">
        <f>"徐珊珊"</f>
        <v>徐珊珊</v>
      </c>
      <c r="C1263" s="8" t="str">
        <f>"341182199707016461"</f>
        <v>341182199707016461</v>
      </c>
      <c r="D1263" s="8" t="str">
        <f>"20200304218"</f>
        <v>20200304218</v>
      </c>
      <c r="E1263" s="9">
        <v>0</v>
      </c>
      <c r="F1263" s="9">
        <v>0</v>
      </c>
      <c r="G1263" s="9">
        <f t="shared" si="19"/>
        <v>0</v>
      </c>
      <c r="H1263" s="8" t="s">
        <v>10</v>
      </c>
    </row>
    <row r="1264" spans="1:8" ht="22.5" customHeight="1">
      <c r="A1264" s="8" t="s">
        <v>83</v>
      </c>
      <c r="B1264" s="8" t="str">
        <f>"杨安妮"</f>
        <v>杨安妮</v>
      </c>
      <c r="C1264" s="8" t="str">
        <f>"341182199705280621"</f>
        <v>341182199705280621</v>
      </c>
      <c r="D1264" s="8" t="str">
        <f>"20200304313"</f>
        <v>20200304313</v>
      </c>
      <c r="E1264" s="9">
        <v>66.9</v>
      </c>
      <c r="F1264" s="9">
        <v>68</v>
      </c>
      <c r="G1264" s="9">
        <f t="shared" si="19"/>
        <v>134.9</v>
      </c>
      <c r="H1264" s="8"/>
    </row>
    <row r="1265" spans="1:8" ht="22.5" customHeight="1">
      <c r="A1265" s="8" t="s">
        <v>83</v>
      </c>
      <c r="B1265" s="8" t="str">
        <f>"朱昌琦"</f>
        <v>朱昌琦</v>
      </c>
      <c r="C1265" s="8" t="str">
        <f>"341182199608150665"</f>
        <v>341182199608150665</v>
      </c>
      <c r="D1265" s="8" t="str">
        <f>"20200304303"</f>
        <v>20200304303</v>
      </c>
      <c r="E1265" s="9">
        <v>58.9</v>
      </c>
      <c r="F1265" s="9">
        <v>74</v>
      </c>
      <c r="G1265" s="9">
        <f t="shared" si="19"/>
        <v>132.9</v>
      </c>
      <c r="H1265" s="8"/>
    </row>
    <row r="1266" spans="1:8" ht="22.5" customHeight="1">
      <c r="A1266" s="8" t="s">
        <v>83</v>
      </c>
      <c r="B1266" s="8" t="str">
        <f>"李文韬"</f>
        <v>李文韬</v>
      </c>
      <c r="C1266" s="8" t="str">
        <f>"341182199703240415"</f>
        <v>341182199703240415</v>
      </c>
      <c r="D1266" s="8" t="str">
        <f>"20200304302"</f>
        <v>20200304302</v>
      </c>
      <c r="E1266" s="9">
        <v>58.3</v>
      </c>
      <c r="F1266" s="9">
        <v>69.5</v>
      </c>
      <c r="G1266" s="9">
        <f t="shared" si="19"/>
        <v>127.8</v>
      </c>
      <c r="H1266" s="8"/>
    </row>
    <row r="1267" spans="1:8" ht="22.5" customHeight="1">
      <c r="A1267" s="8" t="s">
        <v>83</v>
      </c>
      <c r="B1267" s="8" t="str">
        <f>"吴思远"</f>
        <v>吴思远</v>
      </c>
      <c r="C1267" s="8" t="str">
        <f>"341182199808280018"</f>
        <v>341182199808280018</v>
      </c>
      <c r="D1267" s="8" t="str">
        <f>"20200304308"</f>
        <v>20200304308</v>
      </c>
      <c r="E1267" s="9">
        <v>51.6</v>
      </c>
      <c r="F1267" s="9">
        <v>69.5</v>
      </c>
      <c r="G1267" s="9">
        <f t="shared" si="19"/>
        <v>121.1</v>
      </c>
      <c r="H1267" s="8"/>
    </row>
    <row r="1268" spans="1:8" ht="22.5" customHeight="1">
      <c r="A1268" s="8" t="s">
        <v>83</v>
      </c>
      <c r="B1268" s="8" t="str">
        <f>"余慧"</f>
        <v>余慧</v>
      </c>
      <c r="C1268" s="8" t="str">
        <f>"341182199607030426"</f>
        <v>341182199607030426</v>
      </c>
      <c r="D1268" s="8" t="str">
        <f>"20200304307"</f>
        <v>20200304307</v>
      </c>
      <c r="E1268" s="9">
        <v>48.9</v>
      </c>
      <c r="F1268" s="9">
        <v>71</v>
      </c>
      <c r="G1268" s="9">
        <f t="shared" si="19"/>
        <v>119.9</v>
      </c>
      <c r="H1268" s="8"/>
    </row>
    <row r="1269" spans="1:8" ht="22.5" customHeight="1">
      <c r="A1269" s="8" t="s">
        <v>83</v>
      </c>
      <c r="B1269" s="8" t="str">
        <f>"李惟"</f>
        <v>李惟</v>
      </c>
      <c r="C1269" s="8" t="str">
        <f>"341182199812010029"</f>
        <v>341182199812010029</v>
      </c>
      <c r="D1269" s="8" t="str">
        <f>"20200304314"</f>
        <v>20200304314</v>
      </c>
      <c r="E1269" s="9">
        <v>42.8</v>
      </c>
      <c r="F1269" s="9">
        <v>75.5</v>
      </c>
      <c r="G1269" s="9">
        <f t="shared" si="19"/>
        <v>118.3</v>
      </c>
      <c r="H1269" s="8"/>
    </row>
    <row r="1270" spans="1:8" ht="22.5" customHeight="1">
      <c r="A1270" s="8" t="s">
        <v>83</v>
      </c>
      <c r="B1270" s="8" t="str">
        <f>"陆凯"</f>
        <v>陆凯</v>
      </c>
      <c r="C1270" s="8" t="str">
        <f>"341182199806182617"</f>
        <v>341182199806182617</v>
      </c>
      <c r="D1270" s="8" t="str">
        <f>"20200304309"</f>
        <v>20200304309</v>
      </c>
      <c r="E1270" s="9">
        <v>49.7</v>
      </c>
      <c r="F1270" s="9">
        <v>67.5</v>
      </c>
      <c r="G1270" s="9">
        <f t="shared" si="19"/>
        <v>117.2</v>
      </c>
      <c r="H1270" s="8"/>
    </row>
    <row r="1271" spans="1:8" ht="22.5" customHeight="1">
      <c r="A1271" s="8" t="s">
        <v>83</v>
      </c>
      <c r="B1271" s="8" t="str">
        <f>"倪冉冉"</f>
        <v>倪冉冉</v>
      </c>
      <c r="C1271" s="8" t="str">
        <f>"341182199610180249"</f>
        <v>341182199610180249</v>
      </c>
      <c r="D1271" s="8" t="str">
        <f>"20200304304"</f>
        <v>20200304304</v>
      </c>
      <c r="E1271" s="9">
        <v>44.6</v>
      </c>
      <c r="F1271" s="9">
        <v>69</v>
      </c>
      <c r="G1271" s="9">
        <f t="shared" si="19"/>
        <v>113.6</v>
      </c>
      <c r="H1271" s="8"/>
    </row>
    <row r="1272" spans="1:8" ht="22.5" customHeight="1">
      <c r="A1272" s="8" t="s">
        <v>83</v>
      </c>
      <c r="B1272" s="8" t="str">
        <f>"韩宇"</f>
        <v>韩宇</v>
      </c>
      <c r="C1272" s="8" t="str">
        <f>"341127199703132428"</f>
        <v>341127199703132428</v>
      </c>
      <c r="D1272" s="8" t="str">
        <f>"20200304311"</f>
        <v>20200304311</v>
      </c>
      <c r="E1272" s="9">
        <v>38.9</v>
      </c>
      <c r="F1272" s="9">
        <v>68</v>
      </c>
      <c r="G1272" s="9">
        <f t="shared" si="19"/>
        <v>106.9</v>
      </c>
      <c r="H1272" s="8"/>
    </row>
    <row r="1273" spans="1:8" ht="22.5" customHeight="1">
      <c r="A1273" s="8" t="s">
        <v>83</v>
      </c>
      <c r="B1273" s="8" t="str">
        <f>"钱政"</f>
        <v>钱政</v>
      </c>
      <c r="C1273" s="8" t="str">
        <f>"341182199507076232"</f>
        <v>341182199507076232</v>
      </c>
      <c r="D1273" s="8" t="str">
        <f>"20200304306"</f>
        <v>20200304306</v>
      </c>
      <c r="E1273" s="9">
        <v>33.4</v>
      </c>
      <c r="F1273" s="9">
        <v>64.5</v>
      </c>
      <c r="G1273" s="9">
        <f t="shared" si="19"/>
        <v>97.9</v>
      </c>
      <c r="H1273" s="8"/>
    </row>
    <row r="1274" spans="1:8" ht="22.5" customHeight="1">
      <c r="A1274" s="8" t="s">
        <v>83</v>
      </c>
      <c r="B1274" s="8" t="str">
        <f>"李欣"</f>
        <v>李欣</v>
      </c>
      <c r="C1274" s="8" t="str">
        <f>"341182199802132428"</f>
        <v>341182199802132428</v>
      </c>
      <c r="D1274" s="8" t="str">
        <f>"20200304305"</f>
        <v>20200304305</v>
      </c>
      <c r="E1274" s="9">
        <v>0</v>
      </c>
      <c r="F1274" s="9">
        <v>0</v>
      </c>
      <c r="G1274" s="9">
        <f t="shared" si="19"/>
        <v>0</v>
      </c>
      <c r="H1274" s="8" t="s">
        <v>10</v>
      </c>
    </row>
    <row r="1275" spans="1:8" ht="22.5" customHeight="1">
      <c r="A1275" s="8" t="s">
        <v>83</v>
      </c>
      <c r="B1275" s="8" t="str">
        <f>"武秀乐"</f>
        <v>武秀乐</v>
      </c>
      <c r="C1275" s="8" t="str">
        <f>"341127199510182824"</f>
        <v>341127199510182824</v>
      </c>
      <c r="D1275" s="8" t="str">
        <f>"20200304310"</f>
        <v>20200304310</v>
      </c>
      <c r="E1275" s="9">
        <v>0</v>
      </c>
      <c r="F1275" s="9">
        <v>0</v>
      </c>
      <c r="G1275" s="9">
        <f t="shared" si="19"/>
        <v>0</v>
      </c>
      <c r="H1275" s="8" t="s">
        <v>10</v>
      </c>
    </row>
    <row r="1276" spans="1:8" ht="22.5" customHeight="1">
      <c r="A1276" s="8" t="s">
        <v>83</v>
      </c>
      <c r="B1276" s="8" t="str">
        <f>"王书伟"</f>
        <v>王书伟</v>
      </c>
      <c r="C1276" s="8" t="str">
        <f>"342601199502208013"</f>
        <v>342601199502208013</v>
      </c>
      <c r="D1276" s="8" t="str">
        <f>"20200304312"</f>
        <v>20200304312</v>
      </c>
      <c r="E1276" s="9">
        <v>0</v>
      </c>
      <c r="F1276" s="9">
        <v>0</v>
      </c>
      <c r="G1276" s="9">
        <f t="shared" si="19"/>
        <v>0</v>
      </c>
      <c r="H1276" s="8" t="s">
        <v>10</v>
      </c>
    </row>
    <row r="1277" spans="1:8" ht="22.5" customHeight="1">
      <c r="A1277" s="8" t="s">
        <v>84</v>
      </c>
      <c r="B1277" s="8" t="str">
        <f>"王昌龙"</f>
        <v>王昌龙</v>
      </c>
      <c r="C1277" s="8" t="str">
        <f>"341182199703070014"</f>
        <v>341182199703070014</v>
      </c>
      <c r="D1277" s="8" t="str">
        <f>"20200304319"</f>
        <v>20200304319</v>
      </c>
      <c r="E1277" s="9">
        <v>57.1</v>
      </c>
      <c r="F1277" s="9">
        <v>73.5</v>
      </c>
      <c r="G1277" s="9">
        <f t="shared" si="19"/>
        <v>130.6</v>
      </c>
      <c r="H1277" s="8"/>
    </row>
    <row r="1278" spans="1:8" ht="22.5" customHeight="1">
      <c r="A1278" s="8" t="s">
        <v>84</v>
      </c>
      <c r="B1278" s="8" t="str">
        <f>"彭雨"</f>
        <v>彭雨</v>
      </c>
      <c r="C1278" s="8" t="str">
        <f>"341182199905032227"</f>
        <v>341182199905032227</v>
      </c>
      <c r="D1278" s="8" t="str">
        <f>"20200304315"</f>
        <v>20200304315</v>
      </c>
      <c r="E1278" s="9">
        <v>60.5</v>
      </c>
      <c r="F1278" s="9">
        <v>66.5</v>
      </c>
      <c r="G1278" s="9">
        <f t="shared" si="19"/>
        <v>127</v>
      </c>
      <c r="H1278" s="8"/>
    </row>
    <row r="1279" spans="1:8" ht="22.5" customHeight="1">
      <c r="A1279" s="8" t="s">
        <v>84</v>
      </c>
      <c r="B1279" s="8" t="str">
        <f>"谢秋实"</f>
        <v>谢秋实</v>
      </c>
      <c r="C1279" s="8" t="str">
        <f>"341124199709060219"</f>
        <v>341124199709060219</v>
      </c>
      <c r="D1279" s="8" t="str">
        <f>"20200304325"</f>
        <v>20200304325</v>
      </c>
      <c r="E1279" s="9">
        <v>56.3</v>
      </c>
      <c r="F1279" s="9">
        <v>70.5</v>
      </c>
      <c r="G1279" s="9">
        <f t="shared" si="19"/>
        <v>126.8</v>
      </c>
      <c r="H1279" s="8"/>
    </row>
    <row r="1280" spans="1:8" ht="22.5" customHeight="1">
      <c r="A1280" s="8" t="s">
        <v>84</v>
      </c>
      <c r="B1280" s="8" t="str">
        <f>"徐敏"</f>
        <v>徐敏</v>
      </c>
      <c r="C1280" s="8" t="str">
        <f>"341182199803046425"</f>
        <v>341182199803046425</v>
      </c>
      <c r="D1280" s="8" t="str">
        <f>"20200304327"</f>
        <v>20200304327</v>
      </c>
      <c r="E1280" s="9">
        <v>54.8</v>
      </c>
      <c r="F1280" s="9">
        <v>70.5</v>
      </c>
      <c r="G1280" s="9">
        <f t="shared" si="19"/>
        <v>125.3</v>
      </c>
      <c r="H1280" s="8"/>
    </row>
    <row r="1281" spans="1:8" ht="22.5" customHeight="1">
      <c r="A1281" s="8" t="s">
        <v>84</v>
      </c>
      <c r="B1281" s="8" t="str">
        <f>"张伟"</f>
        <v>张伟</v>
      </c>
      <c r="C1281" s="8" t="str">
        <f>"341182199907300037"</f>
        <v>341182199907300037</v>
      </c>
      <c r="D1281" s="8" t="str">
        <f>"20200304316"</f>
        <v>20200304316</v>
      </c>
      <c r="E1281" s="9">
        <v>51.3</v>
      </c>
      <c r="F1281" s="9">
        <v>69.5</v>
      </c>
      <c r="G1281" s="9">
        <f t="shared" si="19"/>
        <v>120.8</v>
      </c>
      <c r="H1281" s="8"/>
    </row>
    <row r="1282" spans="1:8" ht="22.5" customHeight="1">
      <c r="A1282" s="8" t="s">
        <v>84</v>
      </c>
      <c r="B1282" s="8" t="str">
        <f>"许晓"</f>
        <v>许晓</v>
      </c>
      <c r="C1282" s="8" t="str">
        <f>"341182199804182023"</f>
        <v>341182199804182023</v>
      </c>
      <c r="D1282" s="8" t="str">
        <f>"20200304320"</f>
        <v>20200304320</v>
      </c>
      <c r="E1282" s="9">
        <v>52.8</v>
      </c>
      <c r="F1282" s="9">
        <v>67</v>
      </c>
      <c r="G1282" s="9">
        <f t="shared" si="19"/>
        <v>119.8</v>
      </c>
      <c r="H1282" s="8"/>
    </row>
    <row r="1283" spans="1:8" ht="22.5" customHeight="1">
      <c r="A1283" s="8" t="s">
        <v>84</v>
      </c>
      <c r="B1283" s="8" t="str">
        <f>"孙彬彬"</f>
        <v>孙彬彬</v>
      </c>
      <c r="C1283" s="8" t="str">
        <f>"34118219960130465X"</f>
        <v>34118219960130465X</v>
      </c>
      <c r="D1283" s="8" t="str">
        <f>"20200304317"</f>
        <v>20200304317</v>
      </c>
      <c r="E1283" s="9">
        <v>45.6</v>
      </c>
      <c r="F1283" s="9">
        <v>72</v>
      </c>
      <c r="G1283" s="9">
        <f aca="true" t="shared" si="20" ref="G1283:G1346">E1283+F1283</f>
        <v>117.6</v>
      </c>
      <c r="H1283" s="8"/>
    </row>
    <row r="1284" spans="1:8" ht="22.5" customHeight="1">
      <c r="A1284" s="8" t="s">
        <v>84</v>
      </c>
      <c r="B1284" s="8" t="str">
        <f>"吴好梅"</f>
        <v>吴好梅</v>
      </c>
      <c r="C1284" s="8" t="str">
        <f>"34118219950208222X"</f>
        <v>34118219950208222X</v>
      </c>
      <c r="D1284" s="8" t="str">
        <f>"20200304323"</f>
        <v>20200304323</v>
      </c>
      <c r="E1284" s="9">
        <v>47.8</v>
      </c>
      <c r="F1284" s="9">
        <v>69</v>
      </c>
      <c r="G1284" s="9">
        <f t="shared" si="20"/>
        <v>116.8</v>
      </c>
      <c r="H1284" s="8"/>
    </row>
    <row r="1285" spans="1:8" ht="22.5" customHeight="1">
      <c r="A1285" s="8" t="s">
        <v>84</v>
      </c>
      <c r="B1285" s="8" t="str">
        <f>"陈晗"</f>
        <v>陈晗</v>
      </c>
      <c r="C1285" s="8" t="str">
        <f>"340322199804100036"</f>
        <v>340322199804100036</v>
      </c>
      <c r="D1285" s="8" t="str">
        <f>"20200304321"</f>
        <v>20200304321</v>
      </c>
      <c r="E1285" s="9">
        <v>49.7</v>
      </c>
      <c r="F1285" s="9">
        <v>67</v>
      </c>
      <c r="G1285" s="9">
        <f t="shared" si="20"/>
        <v>116.7</v>
      </c>
      <c r="H1285" s="8"/>
    </row>
    <row r="1286" spans="1:8" ht="22.5" customHeight="1">
      <c r="A1286" s="8" t="s">
        <v>84</v>
      </c>
      <c r="B1286" s="8" t="str">
        <f>"毛秀芳"</f>
        <v>毛秀芳</v>
      </c>
      <c r="C1286" s="8" t="str">
        <f>"341182199812034629"</f>
        <v>341182199812034629</v>
      </c>
      <c r="D1286" s="8" t="str">
        <f>"20200304324"</f>
        <v>20200304324</v>
      </c>
      <c r="E1286" s="9">
        <v>43.3</v>
      </c>
      <c r="F1286" s="9">
        <v>69.5</v>
      </c>
      <c r="G1286" s="9">
        <f t="shared" si="20"/>
        <v>112.8</v>
      </c>
      <c r="H1286" s="8"/>
    </row>
    <row r="1287" spans="1:8" ht="22.5" customHeight="1">
      <c r="A1287" s="8" t="s">
        <v>84</v>
      </c>
      <c r="B1287" s="8" t="str">
        <f>"李品麟"</f>
        <v>李品麟</v>
      </c>
      <c r="C1287" s="8" t="str">
        <f>"341182199811160420"</f>
        <v>341182199811160420</v>
      </c>
      <c r="D1287" s="8" t="str">
        <f>"20200304326"</f>
        <v>20200304326</v>
      </c>
      <c r="E1287" s="9">
        <v>34.9</v>
      </c>
      <c r="F1287" s="9">
        <v>73</v>
      </c>
      <c r="G1287" s="9">
        <f t="shared" si="20"/>
        <v>107.9</v>
      </c>
      <c r="H1287" s="8"/>
    </row>
    <row r="1288" spans="1:8" ht="22.5" customHeight="1">
      <c r="A1288" s="8" t="s">
        <v>84</v>
      </c>
      <c r="B1288" s="8" t="str">
        <f>"孙健"</f>
        <v>孙健</v>
      </c>
      <c r="C1288" s="8" t="str">
        <f>"34112619951117001X"</f>
        <v>34112619951117001X</v>
      </c>
      <c r="D1288" s="8" t="str">
        <f>"20200304322"</f>
        <v>20200304322</v>
      </c>
      <c r="E1288" s="9">
        <v>42</v>
      </c>
      <c r="F1288" s="9">
        <v>65.5</v>
      </c>
      <c r="G1288" s="9">
        <f t="shared" si="20"/>
        <v>107.5</v>
      </c>
      <c r="H1288" s="8"/>
    </row>
    <row r="1289" spans="1:8" ht="22.5" customHeight="1">
      <c r="A1289" s="8" t="s">
        <v>84</v>
      </c>
      <c r="B1289" s="8" t="str">
        <f>"丁响"</f>
        <v>丁响</v>
      </c>
      <c r="C1289" s="8" t="str">
        <f>"341182199607014629"</f>
        <v>341182199607014629</v>
      </c>
      <c r="D1289" s="8" t="str">
        <f>"20200304318"</f>
        <v>20200304318</v>
      </c>
      <c r="E1289" s="9">
        <v>36.3</v>
      </c>
      <c r="F1289" s="9">
        <v>68</v>
      </c>
      <c r="G1289" s="9">
        <f t="shared" si="20"/>
        <v>104.3</v>
      </c>
      <c r="H1289" s="8"/>
    </row>
    <row r="1290" spans="1:8" ht="22.5" customHeight="1">
      <c r="A1290" s="8" t="s">
        <v>85</v>
      </c>
      <c r="B1290" s="8" t="str">
        <f>"朱国旗"</f>
        <v>朱国旗</v>
      </c>
      <c r="C1290" s="8" t="str">
        <f>"341126199703056211"</f>
        <v>341126199703056211</v>
      </c>
      <c r="D1290" s="8" t="str">
        <f>"20200304328"</f>
        <v>20200304328</v>
      </c>
      <c r="E1290" s="9">
        <v>65.2</v>
      </c>
      <c r="F1290" s="9">
        <v>68</v>
      </c>
      <c r="G1290" s="9">
        <f t="shared" si="20"/>
        <v>133.2</v>
      </c>
      <c r="H1290" s="8"/>
    </row>
    <row r="1291" spans="1:8" ht="22.5" customHeight="1">
      <c r="A1291" s="8" t="s">
        <v>85</v>
      </c>
      <c r="B1291" s="8" t="str">
        <f>"张薇"</f>
        <v>张薇</v>
      </c>
      <c r="C1291" s="8" t="str">
        <f>"341182199612253026"</f>
        <v>341182199612253026</v>
      </c>
      <c r="D1291" s="8" t="str">
        <f>"20200304329"</f>
        <v>20200304329</v>
      </c>
      <c r="E1291" s="9">
        <v>52.3</v>
      </c>
      <c r="F1291" s="9">
        <v>71</v>
      </c>
      <c r="G1291" s="9">
        <f t="shared" si="20"/>
        <v>123.3</v>
      </c>
      <c r="H1291" s="8"/>
    </row>
    <row r="1292" spans="1:8" ht="22.5" customHeight="1">
      <c r="A1292" s="8" t="s">
        <v>85</v>
      </c>
      <c r="B1292" s="8" t="str">
        <f>"洪中"</f>
        <v>洪中</v>
      </c>
      <c r="C1292" s="8" t="str">
        <f>"341182199801030614"</f>
        <v>341182199801030614</v>
      </c>
      <c r="D1292" s="8" t="str">
        <f>"20200304402"</f>
        <v>20200304402</v>
      </c>
      <c r="E1292" s="9">
        <v>45.2</v>
      </c>
      <c r="F1292" s="9">
        <v>61.5</v>
      </c>
      <c r="G1292" s="9">
        <f t="shared" si="20"/>
        <v>106.7</v>
      </c>
      <c r="H1292" s="8"/>
    </row>
    <row r="1293" spans="1:8" ht="22.5" customHeight="1">
      <c r="A1293" s="8" t="s">
        <v>85</v>
      </c>
      <c r="B1293" s="8" t="str">
        <f>"王帅"</f>
        <v>王帅</v>
      </c>
      <c r="C1293" s="8" t="str">
        <f>"341182199705010410"</f>
        <v>341182199705010410</v>
      </c>
      <c r="D1293" s="8" t="str">
        <f>"20200304330"</f>
        <v>20200304330</v>
      </c>
      <c r="E1293" s="9">
        <v>0</v>
      </c>
      <c r="F1293" s="9">
        <v>0</v>
      </c>
      <c r="G1293" s="9">
        <f t="shared" si="20"/>
        <v>0</v>
      </c>
      <c r="H1293" s="8" t="s">
        <v>10</v>
      </c>
    </row>
    <row r="1294" spans="1:8" ht="22.5" customHeight="1">
      <c r="A1294" s="8" t="s">
        <v>85</v>
      </c>
      <c r="B1294" s="8" t="str">
        <f>"蔡之其"</f>
        <v>蔡之其</v>
      </c>
      <c r="C1294" s="8" t="str">
        <f>"340323199706046933"</f>
        <v>340323199706046933</v>
      </c>
      <c r="D1294" s="8" t="str">
        <f>"20200304401"</f>
        <v>20200304401</v>
      </c>
      <c r="E1294" s="9">
        <v>0</v>
      </c>
      <c r="F1294" s="9">
        <v>0</v>
      </c>
      <c r="G1294" s="9">
        <f t="shared" si="20"/>
        <v>0</v>
      </c>
      <c r="H1294" s="8" t="s">
        <v>10</v>
      </c>
    </row>
    <row r="1295" spans="1:8" ht="22.5" customHeight="1">
      <c r="A1295" s="8" t="s">
        <v>86</v>
      </c>
      <c r="B1295" s="8" t="str">
        <f>"姚焜"</f>
        <v>姚焜</v>
      </c>
      <c r="C1295" s="8" t="str">
        <f>"340303199203050417"</f>
        <v>340303199203050417</v>
      </c>
      <c r="D1295" s="8" t="str">
        <f>"20200304905"</f>
        <v>20200304905</v>
      </c>
      <c r="E1295" s="9">
        <v>72.1</v>
      </c>
      <c r="F1295" s="9">
        <v>69</v>
      </c>
      <c r="G1295" s="9">
        <f t="shared" si="20"/>
        <v>141.1</v>
      </c>
      <c r="H1295" s="8"/>
    </row>
    <row r="1296" spans="1:8" ht="22.5" customHeight="1">
      <c r="A1296" s="8" t="s">
        <v>86</v>
      </c>
      <c r="B1296" s="8" t="str">
        <f>"高庆举"</f>
        <v>高庆举</v>
      </c>
      <c r="C1296" s="8" t="str">
        <f>"34118219941010003X"</f>
        <v>34118219941010003X</v>
      </c>
      <c r="D1296" s="8" t="str">
        <f>"20200304821"</f>
        <v>20200304821</v>
      </c>
      <c r="E1296" s="9">
        <v>67.3</v>
      </c>
      <c r="F1296" s="9">
        <v>69</v>
      </c>
      <c r="G1296" s="9">
        <f t="shared" si="20"/>
        <v>136.3</v>
      </c>
      <c r="H1296" s="8"/>
    </row>
    <row r="1297" spans="1:8" ht="22.5" customHeight="1">
      <c r="A1297" s="8" t="s">
        <v>86</v>
      </c>
      <c r="B1297" s="8" t="str">
        <f>"曹瑞达"</f>
        <v>曹瑞达</v>
      </c>
      <c r="C1297" s="8" t="str">
        <f>"341126199412090014"</f>
        <v>341126199412090014</v>
      </c>
      <c r="D1297" s="8" t="str">
        <f>"20200304408"</f>
        <v>20200304408</v>
      </c>
      <c r="E1297" s="9">
        <v>66.4</v>
      </c>
      <c r="F1297" s="9">
        <v>68</v>
      </c>
      <c r="G1297" s="9">
        <f t="shared" si="20"/>
        <v>134.4</v>
      </c>
      <c r="H1297" s="8"/>
    </row>
    <row r="1298" spans="1:8" ht="22.5" customHeight="1">
      <c r="A1298" s="8" t="s">
        <v>86</v>
      </c>
      <c r="B1298" s="8" t="str">
        <f>"钱锦"</f>
        <v>钱锦</v>
      </c>
      <c r="C1298" s="8" t="str">
        <f>"341182199704180215"</f>
        <v>341182199704180215</v>
      </c>
      <c r="D1298" s="8" t="str">
        <f>"20200304410"</f>
        <v>20200304410</v>
      </c>
      <c r="E1298" s="9">
        <v>58.8</v>
      </c>
      <c r="F1298" s="9">
        <v>74.5</v>
      </c>
      <c r="G1298" s="9">
        <f t="shared" si="20"/>
        <v>133.3</v>
      </c>
      <c r="H1298" s="8"/>
    </row>
    <row r="1299" spans="1:8" ht="22.5" customHeight="1">
      <c r="A1299" s="8" t="s">
        <v>86</v>
      </c>
      <c r="B1299" s="8" t="str">
        <f>"王迪"</f>
        <v>王迪</v>
      </c>
      <c r="C1299" s="8" t="str">
        <f>"341182199104140041"</f>
        <v>341182199104140041</v>
      </c>
      <c r="D1299" s="8" t="str">
        <f>"20200304805"</f>
        <v>20200304805</v>
      </c>
      <c r="E1299" s="9">
        <v>59.8</v>
      </c>
      <c r="F1299" s="9">
        <v>73</v>
      </c>
      <c r="G1299" s="9">
        <f t="shared" si="20"/>
        <v>132.8</v>
      </c>
      <c r="H1299" s="8"/>
    </row>
    <row r="1300" spans="1:8" ht="22.5" customHeight="1">
      <c r="A1300" s="8" t="s">
        <v>86</v>
      </c>
      <c r="B1300" s="8" t="str">
        <f>"李娟"</f>
        <v>李娟</v>
      </c>
      <c r="C1300" s="8" t="str">
        <f>"341182199612166221"</f>
        <v>341182199612166221</v>
      </c>
      <c r="D1300" s="8" t="str">
        <f>"20200304612"</f>
        <v>20200304612</v>
      </c>
      <c r="E1300" s="9">
        <v>59.4</v>
      </c>
      <c r="F1300" s="9">
        <v>72</v>
      </c>
      <c r="G1300" s="9">
        <f t="shared" si="20"/>
        <v>131.4</v>
      </c>
      <c r="H1300" s="8"/>
    </row>
    <row r="1301" spans="1:8" ht="22.5" customHeight="1">
      <c r="A1301" s="8" t="s">
        <v>86</v>
      </c>
      <c r="B1301" s="8" t="str">
        <f>"贺恒磊"</f>
        <v>贺恒磊</v>
      </c>
      <c r="C1301" s="8" t="str">
        <f>"341182199112010415"</f>
        <v>341182199112010415</v>
      </c>
      <c r="D1301" s="8" t="str">
        <f>"20200304719"</f>
        <v>20200304719</v>
      </c>
      <c r="E1301" s="9">
        <v>60.2</v>
      </c>
      <c r="F1301" s="9">
        <v>70.5</v>
      </c>
      <c r="G1301" s="9">
        <f t="shared" si="20"/>
        <v>130.7</v>
      </c>
      <c r="H1301" s="8"/>
    </row>
    <row r="1302" spans="1:8" ht="22.5" customHeight="1">
      <c r="A1302" s="8" t="s">
        <v>86</v>
      </c>
      <c r="B1302" s="8" t="str">
        <f>"代娜娜"</f>
        <v>代娜娜</v>
      </c>
      <c r="C1302" s="8" t="str">
        <f>"340621199607045621"</f>
        <v>340621199607045621</v>
      </c>
      <c r="D1302" s="8" t="str">
        <f>"20200304911"</f>
        <v>20200304911</v>
      </c>
      <c r="E1302" s="9">
        <v>54.7</v>
      </c>
      <c r="F1302" s="9">
        <v>75.5</v>
      </c>
      <c r="G1302" s="9">
        <f t="shared" si="20"/>
        <v>130.2</v>
      </c>
      <c r="H1302" s="8"/>
    </row>
    <row r="1303" spans="1:8" ht="22.5" customHeight="1">
      <c r="A1303" s="8" t="s">
        <v>86</v>
      </c>
      <c r="B1303" s="8" t="str">
        <f>"郜峰"</f>
        <v>郜峰</v>
      </c>
      <c r="C1303" s="8" t="str">
        <f>"341182199211170422"</f>
        <v>341182199211170422</v>
      </c>
      <c r="D1303" s="8" t="str">
        <f>"20200304814"</f>
        <v>20200304814</v>
      </c>
      <c r="E1303" s="9">
        <v>61</v>
      </c>
      <c r="F1303" s="9">
        <v>68.5</v>
      </c>
      <c r="G1303" s="9">
        <f t="shared" si="20"/>
        <v>129.5</v>
      </c>
      <c r="H1303" s="8"/>
    </row>
    <row r="1304" spans="1:8" ht="22.5" customHeight="1">
      <c r="A1304" s="8" t="s">
        <v>86</v>
      </c>
      <c r="B1304" s="8" t="str">
        <f>"柳仲凯"</f>
        <v>柳仲凯</v>
      </c>
      <c r="C1304" s="8" t="str">
        <f>"341182199002280617"</f>
        <v>341182199002280617</v>
      </c>
      <c r="D1304" s="8" t="str">
        <f>"20200304428"</f>
        <v>20200304428</v>
      </c>
      <c r="E1304" s="9">
        <v>60.9</v>
      </c>
      <c r="F1304" s="9">
        <v>68</v>
      </c>
      <c r="G1304" s="9">
        <f t="shared" si="20"/>
        <v>128.9</v>
      </c>
      <c r="H1304" s="8"/>
    </row>
    <row r="1305" spans="1:8" ht="22.5" customHeight="1">
      <c r="A1305" s="8" t="s">
        <v>86</v>
      </c>
      <c r="B1305" s="8" t="str">
        <f>"阚绪耀"</f>
        <v>阚绪耀</v>
      </c>
      <c r="C1305" s="8" t="str">
        <f>"341126199402281511"</f>
        <v>341126199402281511</v>
      </c>
      <c r="D1305" s="8" t="str">
        <f>"20200304618"</f>
        <v>20200304618</v>
      </c>
      <c r="E1305" s="9">
        <v>56.9</v>
      </c>
      <c r="F1305" s="9">
        <v>71</v>
      </c>
      <c r="G1305" s="9">
        <f t="shared" si="20"/>
        <v>127.9</v>
      </c>
      <c r="H1305" s="8"/>
    </row>
    <row r="1306" spans="1:8" ht="22.5" customHeight="1">
      <c r="A1306" s="8" t="s">
        <v>86</v>
      </c>
      <c r="B1306" s="8" t="str">
        <f>"张丹锋"</f>
        <v>张丹锋</v>
      </c>
      <c r="C1306" s="8" t="str">
        <f>"340322199108197831"</f>
        <v>340322199108197831</v>
      </c>
      <c r="D1306" s="8" t="str">
        <f>"20200304405"</f>
        <v>20200304405</v>
      </c>
      <c r="E1306" s="9">
        <v>57.8</v>
      </c>
      <c r="F1306" s="9">
        <v>70</v>
      </c>
      <c r="G1306" s="9">
        <f t="shared" si="20"/>
        <v>127.8</v>
      </c>
      <c r="H1306" s="8"/>
    </row>
    <row r="1307" spans="1:8" ht="22.5" customHeight="1">
      <c r="A1307" s="8" t="s">
        <v>86</v>
      </c>
      <c r="B1307" s="8" t="str">
        <f>"杜晓辉"</f>
        <v>杜晓辉</v>
      </c>
      <c r="C1307" s="8" t="str">
        <f>"340121199210104331"</f>
        <v>340121199210104331</v>
      </c>
      <c r="D1307" s="8" t="str">
        <f>"20200304907"</f>
        <v>20200304907</v>
      </c>
      <c r="E1307" s="9">
        <v>58.6</v>
      </c>
      <c r="F1307" s="9">
        <v>68.5</v>
      </c>
      <c r="G1307" s="9">
        <f t="shared" si="20"/>
        <v>127.1</v>
      </c>
      <c r="H1307" s="8"/>
    </row>
    <row r="1308" spans="1:8" ht="22.5" customHeight="1">
      <c r="A1308" s="8" t="s">
        <v>86</v>
      </c>
      <c r="B1308" s="8" t="str">
        <f>"宋庆岩"</f>
        <v>宋庆岩</v>
      </c>
      <c r="C1308" s="8" t="str">
        <f>"340322199601070017"</f>
        <v>340322199601070017</v>
      </c>
      <c r="D1308" s="8" t="str">
        <f>"20200304727"</f>
        <v>20200304727</v>
      </c>
      <c r="E1308" s="9">
        <v>54.8</v>
      </c>
      <c r="F1308" s="9">
        <v>72</v>
      </c>
      <c r="G1308" s="9">
        <f t="shared" si="20"/>
        <v>126.8</v>
      </c>
      <c r="H1308" s="8"/>
    </row>
    <row r="1309" spans="1:8" ht="22.5" customHeight="1">
      <c r="A1309" s="8" t="s">
        <v>86</v>
      </c>
      <c r="B1309" s="8" t="str">
        <f>"华成好"</f>
        <v>华成好</v>
      </c>
      <c r="C1309" s="8" t="str">
        <f>"341182199508202659"</f>
        <v>341182199508202659</v>
      </c>
      <c r="D1309" s="8" t="str">
        <f>"20200304606"</f>
        <v>20200304606</v>
      </c>
      <c r="E1309" s="9">
        <v>56.3</v>
      </c>
      <c r="F1309" s="9">
        <v>69.5</v>
      </c>
      <c r="G1309" s="9">
        <f t="shared" si="20"/>
        <v>125.8</v>
      </c>
      <c r="H1309" s="8"/>
    </row>
    <row r="1310" spans="1:8" ht="22.5" customHeight="1">
      <c r="A1310" s="8" t="s">
        <v>86</v>
      </c>
      <c r="B1310" s="8" t="str">
        <f>"鲍敏"</f>
        <v>鲍敏</v>
      </c>
      <c r="C1310" s="8" t="str">
        <f>"340322199206100909"</f>
        <v>340322199206100909</v>
      </c>
      <c r="D1310" s="8" t="str">
        <f>"20200304722"</f>
        <v>20200304722</v>
      </c>
      <c r="E1310" s="9">
        <v>53.8</v>
      </c>
      <c r="F1310" s="9">
        <v>72</v>
      </c>
      <c r="G1310" s="9">
        <f t="shared" si="20"/>
        <v>125.8</v>
      </c>
      <c r="H1310" s="8"/>
    </row>
    <row r="1311" spans="1:8" ht="22.5" customHeight="1">
      <c r="A1311" s="8" t="s">
        <v>86</v>
      </c>
      <c r="B1311" s="8" t="str">
        <f>"朱良志"</f>
        <v>朱良志</v>
      </c>
      <c r="C1311" s="8" t="str">
        <f>"341182199208130016"</f>
        <v>341182199208130016</v>
      </c>
      <c r="D1311" s="8" t="str">
        <f>"20200304505"</f>
        <v>20200304505</v>
      </c>
      <c r="E1311" s="9">
        <v>61.2</v>
      </c>
      <c r="F1311" s="9">
        <v>64.5</v>
      </c>
      <c r="G1311" s="9">
        <f t="shared" si="20"/>
        <v>125.7</v>
      </c>
      <c r="H1311" s="8"/>
    </row>
    <row r="1312" spans="1:8" ht="22.5" customHeight="1">
      <c r="A1312" s="8" t="s">
        <v>86</v>
      </c>
      <c r="B1312" s="8" t="str">
        <f>"陶侃"</f>
        <v>陶侃</v>
      </c>
      <c r="C1312" s="8" t="str">
        <f>"341182199010084616"</f>
        <v>341182199010084616</v>
      </c>
      <c r="D1312" s="8" t="str">
        <f>"20200304803"</f>
        <v>20200304803</v>
      </c>
      <c r="E1312" s="9">
        <v>59.3</v>
      </c>
      <c r="F1312" s="9">
        <v>66</v>
      </c>
      <c r="G1312" s="9">
        <f t="shared" si="20"/>
        <v>125.3</v>
      </c>
      <c r="H1312" s="8"/>
    </row>
    <row r="1313" spans="1:8" ht="22.5" customHeight="1">
      <c r="A1313" s="8" t="s">
        <v>86</v>
      </c>
      <c r="B1313" s="8" t="str">
        <f>"夏羽"</f>
        <v>夏羽</v>
      </c>
      <c r="C1313" s="8" t="str">
        <f>"341182199009190016"</f>
        <v>341182199009190016</v>
      </c>
      <c r="D1313" s="8" t="str">
        <f>"20200304404"</f>
        <v>20200304404</v>
      </c>
      <c r="E1313" s="9">
        <v>54</v>
      </c>
      <c r="F1313" s="9">
        <v>71</v>
      </c>
      <c r="G1313" s="9">
        <f t="shared" si="20"/>
        <v>125</v>
      </c>
      <c r="H1313" s="8"/>
    </row>
    <row r="1314" spans="1:8" ht="22.5" customHeight="1">
      <c r="A1314" s="8" t="s">
        <v>86</v>
      </c>
      <c r="B1314" s="8" t="str">
        <f>"周月"</f>
        <v>周月</v>
      </c>
      <c r="C1314" s="8" t="str">
        <f>"341182199101123422"</f>
        <v>341182199101123422</v>
      </c>
      <c r="D1314" s="8" t="str">
        <f>"20200304801"</f>
        <v>20200304801</v>
      </c>
      <c r="E1314" s="9">
        <v>54.9</v>
      </c>
      <c r="F1314" s="9">
        <v>69.5</v>
      </c>
      <c r="G1314" s="9">
        <f t="shared" si="20"/>
        <v>124.4</v>
      </c>
      <c r="H1314" s="8"/>
    </row>
    <row r="1315" spans="1:8" ht="22.5" customHeight="1">
      <c r="A1315" s="8" t="s">
        <v>86</v>
      </c>
      <c r="B1315" s="8" t="str">
        <f>"郁陆"</f>
        <v>郁陆</v>
      </c>
      <c r="C1315" s="8" t="str">
        <f>"341182199612031829"</f>
        <v>341182199612031829</v>
      </c>
      <c r="D1315" s="8" t="str">
        <f>"20200305011"</f>
        <v>20200305011</v>
      </c>
      <c r="E1315" s="9">
        <v>53.6</v>
      </c>
      <c r="F1315" s="9">
        <v>70.5</v>
      </c>
      <c r="G1315" s="9">
        <f t="shared" si="20"/>
        <v>124.1</v>
      </c>
      <c r="H1315" s="8"/>
    </row>
    <row r="1316" spans="1:8" ht="22.5" customHeight="1">
      <c r="A1316" s="8" t="s">
        <v>86</v>
      </c>
      <c r="B1316" s="8" t="str">
        <f>"郭涛"</f>
        <v>郭涛</v>
      </c>
      <c r="C1316" s="8" t="str">
        <f>"341182199608173031"</f>
        <v>341182199608173031</v>
      </c>
      <c r="D1316" s="8" t="str">
        <f>"20200304423"</f>
        <v>20200304423</v>
      </c>
      <c r="E1316" s="9">
        <v>51.7</v>
      </c>
      <c r="F1316" s="9">
        <v>72</v>
      </c>
      <c r="G1316" s="9">
        <f t="shared" si="20"/>
        <v>123.7</v>
      </c>
      <c r="H1316" s="8"/>
    </row>
    <row r="1317" spans="1:8" ht="22.5" customHeight="1">
      <c r="A1317" s="8" t="s">
        <v>86</v>
      </c>
      <c r="B1317" s="8" t="str">
        <f>"丁永雨"</f>
        <v>丁永雨</v>
      </c>
      <c r="C1317" s="8" t="str">
        <f>"341182199510285414"</f>
        <v>341182199510285414</v>
      </c>
      <c r="D1317" s="8" t="str">
        <f>"20200304422"</f>
        <v>20200304422</v>
      </c>
      <c r="E1317" s="9">
        <v>54.1</v>
      </c>
      <c r="F1317" s="9">
        <v>69.5</v>
      </c>
      <c r="G1317" s="9">
        <f t="shared" si="20"/>
        <v>123.6</v>
      </c>
      <c r="H1317" s="8"/>
    </row>
    <row r="1318" spans="1:8" ht="22.5" customHeight="1">
      <c r="A1318" s="8" t="s">
        <v>86</v>
      </c>
      <c r="B1318" s="8" t="str">
        <f>"李欣"</f>
        <v>李欣</v>
      </c>
      <c r="C1318" s="8" t="str">
        <f>"341181199004151425"</f>
        <v>341181199004151425</v>
      </c>
      <c r="D1318" s="8" t="str">
        <f>"20200304810"</f>
        <v>20200304810</v>
      </c>
      <c r="E1318" s="9">
        <v>49.5</v>
      </c>
      <c r="F1318" s="9">
        <v>74</v>
      </c>
      <c r="G1318" s="9">
        <f t="shared" si="20"/>
        <v>123.5</v>
      </c>
      <c r="H1318" s="8"/>
    </row>
    <row r="1319" spans="1:8" ht="22.5" customHeight="1">
      <c r="A1319" s="8" t="s">
        <v>86</v>
      </c>
      <c r="B1319" s="8" t="str">
        <f>"徐金蕊"</f>
        <v>徐金蕊</v>
      </c>
      <c r="C1319" s="8" t="str">
        <f>"341182199412056028"</f>
        <v>341182199412056028</v>
      </c>
      <c r="D1319" s="8" t="str">
        <f>"20200304523"</f>
        <v>20200304523</v>
      </c>
      <c r="E1319" s="9">
        <v>51.4</v>
      </c>
      <c r="F1319" s="9">
        <v>72</v>
      </c>
      <c r="G1319" s="9">
        <f t="shared" si="20"/>
        <v>123.4</v>
      </c>
      <c r="H1319" s="8"/>
    </row>
    <row r="1320" spans="1:8" ht="22.5" customHeight="1">
      <c r="A1320" s="8" t="s">
        <v>86</v>
      </c>
      <c r="B1320" s="8" t="str">
        <f>"周雪"</f>
        <v>周雪</v>
      </c>
      <c r="C1320" s="8" t="str">
        <f>"341182199510202041"</f>
        <v>341182199510202041</v>
      </c>
      <c r="D1320" s="8" t="str">
        <f>"20200304426"</f>
        <v>20200304426</v>
      </c>
      <c r="E1320" s="9">
        <v>46.4</v>
      </c>
      <c r="F1320" s="9">
        <v>76.5</v>
      </c>
      <c r="G1320" s="9">
        <f t="shared" si="20"/>
        <v>122.9</v>
      </c>
      <c r="H1320" s="8"/>
    </row>
    <row r="1321" spans="1:8" ht="22.5" customHeight="1">
      <c r="A1321" s="8" t="s">
        <v>86</v>
      </c>
      <c r="B1321" s="8" t="str">
        <f>"王爵"</f>
        <v>王爵</v>
      </c>
      <c r="C1321" s="8" t="str">
        <f>"34118219950315001X"</f>
        <v>34118219950315001X</v>
      </c>
      <c r="D1321" s="8" t="str">
        <f>"20200304717"</f>
        <v>20200304717</v>
      </c>
      <c r="E1321" s="9">
        <v>51.8</v>
      </c>
      <c r="F1321" s="9">
        <v>70.5</v>
      </c>
      <c r="G1321" s="9">
        <f t="shared" si="20"/>
        <v>122.3</v>
      </c>
      <c r="H1321" s="8"/>
    </row>
    <row r="1322" spans="1:8" ht="22.5" customHeight="1">
      <c r="A1322" s="8" t="s">
        <v>86</v>
      </c>
      <c r="B1322" s="8" t="str">
        <f>"张沛"</f>
        <v>张沛</v>
      </c>
      <c r="C1322" s="8" t="str">
        <f>"341182199806093016"</f>
        <v>341182199806093016</v>
      </c>
      <c r="D1322" s="8" t="str">
        <f>"20200304514"</f>
        <v>20200304514</v>
      </c>
      <c r="E1322" s="9">
        <v>50.9</v>
      </c>
      <c r="F1322" s="9">
        <v>71</v>
      </c>
      <c r="G1322" s="9">
        <f t="shared" si="20"/>
        <v>121.9</v>
      </c>
      <c r="H1322" s="8"/>
    </row>
    <row r="1323" spans="1:8" ht="22.5" customHeight="1">
      <c r="A1323" s="8" t="s">
        <v>86</v>
      </c>
      <c r="B1323" s="8" t="str">
        <f>"包志玉"</f>
        <v>包志玉</v>
      </c>
      <c r="C1323" s="8" t="str">
        <f>"341182199709265410"</f>
        <v>341182199709265410</v>
      </c>
      <c r="D1323" s="8" t="str">
        <f>"20200304628"</f>
        <v>20200304628</v>
      </c>
      <c r="E1323" s="9">
        <v>55.4</v>
      </c>
      <c r="F1323" s="9">
        <v>66.5</v>
      </c>
      <c r="G1323" s="9">
        <f t="shared" si="20"/>
        <v>121.9</v>
      </c>
      <c r="H1323" s="8"/>
    </row>
    <row r="1324" spans="1:8" ht="22.5" customHeight="1">
      <c r="A1324" s="8" t="s">
        <v>86</v>
      </c>
      <c r="B1324" s="8" t="str">
        <f>"王心怡"</f>
        <v>王心怡</v>
      </c>
      <c r="C1324" s="8" t="str">
        <f>"341182199507112416"</f>
        <v>341182199507112416</v>
      </c>
      <c r="D1324" s="8" t="str">
        <f>"20200304515"</f>
        <v>20200304515</v>
      </c>
      <c r="E1324" s="9">
        <v>53.8</v>
      </c>
      <c r="F1324" s="9">
        <v>68</v>
      </c>
      <c r="G1324" s="9">
        <f t="shared" si="20"/>
        <v>121.8</v>
      </c>
      <c r="H1324" s="8"/>
    </row>
    <row r="1325" spans="1:8" ht="22.5" customHeight="1">
      <c r="A1325" s="8" t="s">
        <v>86</v>
      </c>
      <c r="B1325" s="8" t="str">
        <f>"孔梦璇"</f>
        <v>孔梦璇</v>
      </c>
      <c r="C1325" s="8" t="str">
        <f>"341182199708260466"</f>
        <v>341182199708260466</v>
      </c>
      <c r="D1325" s="8" t="str">
        <f>"20200304611"</f>
        <v>20200304611</v>
      </c>
      <c r="E1325" s="9">
        <v>48.5</v>
      </c>
      <c r="F1325" s="9">
        <v>73</v>
      </c>
      <c r="G1325" s="9">
        <f t="shared" si="20"/>
        <v>121.5</v>
      </c>
      <c r="H1325" s="8"/>
    </row>
    <row r="1326" spans="1:8" ht="22.5" customHeight="1">
      <c r="A1326" s="8" t="s">
        <v>86</v>
      </c>
      <c r="B1326" s="8" t="str">
        <f>"熊国田"</f>
        <v>熊国田</v>
      </c>
      <c r="C1326" s="8" t="str">
        <f>"340311199202271226"</f>
        <v>340311199202271226</v>
      </c>
      <c r="D1326" s="8" t="str">
        <f>"20200304524"</f>
        <v>20200304524</v>
      </c>
      <c r="E1326" s="9">
        <v>48.4</v>
      </c>
      <c r="F1326" s="9">
        <v>73</v>
      </c>
      <c r="G1326" s="9">
        <f t="shared" si="20"/>
        <v>121.4</v>
      </c>
      <c r="H1326" s="8"/>
    </row>
    <row r="1327" spans="1:8" ht="22.5" customHeight="1">
      <c r="A1327" s="8" t="s">
        <v>86</v>
      </c>
      <c r="B1327" s="8" t="str">
        <f>"桑杰"</f>
        <v>桑杰</v>
      </c>
      <c r="C1327" s="8" t="str">
        <f>"341182199505143016"</f>
        <v>341182199505143016</v>
      </c>
      <c r="D1327" s="8" t="str">
        <f>"20200304902"</f>
        <v>20200304902</v>
      </c>
      <c r="E1327" s="9">
        <v>54.5</v>
      </c>
      <c r="F1327" s="9">
        <v>66.5</v>
      </c>
      <c r="G1327" s="9">
        <f t="shared" si="20"/>
        <v>121</v>
      </c>
      <c r="H1327" s="8"/>
    </row>
    <row r="1328" spans="1:8" ht="22.5" customHeight="1">
      <c r="A1328" s="8" t="s">
        <v>86</v>
      </c>
      <c r="B1328" s="8" t="str">
        <f>"马文艺"</f>
        <v>马文艺</v>
      </c>
      <c r="C1328" s="8" t="str">
        <f>"341182199708270226"</f>
        <v>341182199708270226</v>
      </c>
      <c r="D1328" s="8" t="str">
        <f>"20200304822"</f>
        <v>20200304822</v>
      </c>
      <c r="E1328" s="9">
        <v>50.9</v>
      </c>
      <c r="F1328" s="9">
        <v>70</v>
      </c>
      <c r="G1328" s="9">
        <f t="shared" si="20"/>
        <v>120.9</v>
      </c>
      <c r="H1328" s="8"/>
    </row>
    <row r="1329" spans="1:8" ht="22.5" customHeight="1">
      <c r="A1329" s="8" t="s">
        <v>86</v>
      </c>
      <c r="B1329" s="8" t="str">
        <f>"张厚清"</f>
        <v>张厚清</v>
      </c>
      <c r="C1329" s="8" t="str">
        <f>"341102199804020428"</f>
        <v>341102199804020428</v>
      </c>
      <c r="D1329" s="8" t="str">
        <f>"20200304903"</f>
        <v>20200304903</v>
      </c>
      <c r="E1329" s="9">
        <v>50.4</v>
      </c>
      <c r="F1329" s="9">
        <v>70.5</v>
      </c>
      <c r="G1329" s="9">
        <f t="shared" si="20"/>
        <v>120.9</v>
      </c>
      <c r="H1329" s="8"/>
    </row>
    <row r="1330" spans="1:8" ht="22.5" customHeight="1">
      <c r="A1330" s="8" t="s">
        <v>86</v>
      </c>
      <c r="B1330" s="8" t="str">
        <f>"吴春旺"</f>
        <v>吴春旺</v>
      </c>
      <c r="C1330" s="8" t="str">
        <f>"341182199502101435"</f>
        <v>341182199502101435</v>
      </c>
      <c r="D1330" s="8" t="str">
        <f>"20200304520"</f>
        <v>20200304520</v>
      </c>
      <c r="E1330" s="9">
        <v>53.9</v>
      </c>
      <c r="F1330" s="9">
        <v>66.5</v>
      </c>
      <c r="G1330" s="9">
        <f t="shared" si="20"/>
        <v>120.4</v>
      </c>
      <c r="H1330" s="8"/>
    </row>
    <row r="1331" spans="1:8" ht="22.5" customHeight="1">
      <c r="A1331" s="8" t="s">
        <v>86</v>
      </c>
      <c r="B1331" s="8" t="str">
        <f>"孙静"</f>
        <v>孙静</v>
      </c>
      <c r="C1331" s="8" t="str">
        <f>"341182199606201027"</f>
        <v>341182199606201027</v>
      </c>
      <c r="D1331" s="8" t="str">
        <f>"20200304420"</f>
        <v>20200304420</v>
      </c>
      <c r="E1331" s="9">
        <v>51.3</v>
      </c>
      <c r="F1331" s="9">
        <v>69</v>
      </c>
      <c r="G1331" s="9">
        <f t="shared" si="20"/>
        <v>120.3</v>
      </c>
      <c r="H1331" s="8"/>
    </row>
    <row r="1332" spans="1:8" ht="22.5" customHeight="1">
      <c r="A1332" s="8" t="s">
        <v>86</v>
      </c>
      <c r="B1332" s="8" t="str">
        <f>"陈曦"</f>
        <v>陈曦</v>
      </c>
      <c r="C1332" s="8" t="str">
        <f>"341182199704150227"</f>
        <v>341182199704150227</v>
      </c>
      <c r="D1332" s="8" t="str">
        <f>"20200304710"</f>
        <v>20200304710</v>
      </c>
      <c r="E1332" s="9">
        <v>47.8</v>
      </c>
      <c r="F1332" s="9">
        <v>72.5</v>
      </c>
      <c r="G1332" s="9">
        <f t="shared" si="20"/>
        <v>120.3</v>
      </c>
      <c r="H1332" s="8"/>
    </row>
    <row r="1333" spans="1:8" ht="22.5" customHeight="1">
      <c r="A1333" s="8" t="s">
        <v>86</v>
      </c>
      <c r="B1333" s="8" t="str">
        <f>"崔昕"</f>
        <v>崔昕</v>
      </c>
      <c r="C1333" s="8" t="str">
        <f>"341182199002082231"</f>
        <v>341182199002082231</v>
      </c>
      <c r="D1333" s="8" t="str">
        <f>"20200304414"</f>
        <v>20200304414</v>
      </c>
      <c r="E1333" s="9">
        <v>49.1</v>
      </c>
      <c r="F1333" s="9">
        <v>71</v>
      </c>
      <c r="G1333" s="9">
        <f t="shared" si="20"/>
        <v>120.1</v>
      </c>
      <c r="H1333" s="8"/>
    </row>
    <row r="1334" spans="1:8" ht="22.5" customHeight="1">
      <c r="A1334" s="8" t="s">
        <v>86</v>
      </c>
      <c r="B1334" s="8" t="str">
        <f>"华如霜"</f>
        <v>华如霜</v>
      </c>
      <c r="C1334" s="8" t="str">
        <f>"341182199506232221"</f>
        <v>341182199506232221</v>
      </c>
      <c r="D1334" s="8" t="str">
        <f>"20200305009"</f>
        <v>20200305009</v>
      </c>
      <c r="E1334" s="9">
        <v>48.2</v>
      </c>
      <c r="F1334" s="9">
        <v>71.5</v>
      </c>
      <c r="G1334" s="9">
        <f t="shared" si="20"/>
        <v>119.7</v>
      </c>
      <c r="H1334" s="8"/>
    </row>
    <row r="1335" spans="1:8" ht="22.5" customHeight="1">
      <c r="A1335" s="8" t="s">
        <v>86</v>
      </c>
      <c r="B1335" s="8" t="str">
        <f>"胡正广"</f>
        <v>胡正广</v>
      </c>
      <c r="C1335" s="8" t="str">
        <f>"341182199212080613"</f>
        <v>341182199212080613</v>
      </c>
      <c r="D1335" s="8" t="str">
        <f>"20200304508"</f>
        <v>20200304508</v>
      </c>
      <c r="E1335" s="9">
        <v>50</v>
      </c>
      <c r="F1335" s="9">
        <v>69.5</v>
      </c>
      <c r="G1335" s="9">
        <f t="shared" si="20"/>
        <v>119.5</v>
      </c>
      <c r="H1335" s="8"/>
    </row>
    <row r="1336" spans="1:8" ht="22.5" customHeight="1">
      <c r="A1336" s="8" t="s">
        <v>86</v>
      </c>
      <c r="B1336" s="8" t="str">
        <f>"徐政"</f>
        <v>徐政</v>
      </c>
      <c r="C1336" s="8" t="str">
        <f>"34118219890713461X"</f>
        <v>34118219890713461X</v>
      </c>
      <c r="D1336" s="8" t="str">
        <f>"20200304513"</f>
        <v>20200304513</v>
      </c>
      <c r="E1336" s="9">
        <v>48.9</v>
      </c>
      <c r="F1336" s="9">
        <v>70.5</v>
      </c>
      <c r="G1336" s="9">
        <f t="shared" si="20"/>
        <v>119.4</v>
      </c>
      <c r="H1336" s="8"/>
    </row>
    <row r="1337" spans="1:8" ht="22.5" customHeight="1">
      <c r="A1337" s="8" t="s">
        <v>86</v>
      </c>
      <c r="B1337" s="8" t="str">
        <f>"李想"</f>
        <v>李想</v>
      </c>
      <c r="C1337" s="8" t="str">
        <f>"341182199405010021"</f>
        <v>341182199405010021</v>
      </c>
      <c r="D1337" s="8" t="str">
        <f>"20200304712"</f>
        <v>20200304712</v>
      </c>
      <c r="E1337" s="9">
        <v>50.7</v>
      </c>
      <c r="F1337" s="9">
        <v>68.5</v>
      </c>
      <c r="G1337" s="9">
        <f t="shared" si="20"/>
        <v>119.2</v>
      </c>
      <c r="H1337" s="8"/>
    </row>
    <row r="1338" spans="1:8" ht="22.5" customHeight="1">
      <c r="A1338" s="8" t="s">
        <v>86</v>
      </c>
      <c r="B1338" s="8" t="str">
        <f>"王亚萍"</f>
        <v>王亚萍</v>
      </c>
      <c r="C1338" s="8" t="str">
        <f>"340322199012210069"</f>
        <v>340322199012210069</v>
      </c>
      <c r="D1338" s="8" t="str">
        <f>"20200304915"</f>
        <v>20200304915</v>
      </c>
      <c r="E1338" s="9">
        <v>49.7</v>
      </c>
      <c r="F1338" s="9">
        <v>69.5</v>
      </c>
      <c r="G1338" s="9">
        <f t="shared" si="20"/>
        <v>119.2</v>
      </c>
      <c r="H1338" s="8"/>
    </row>
    <row r="1339" spans="1:8" ht="22.5" customHeight="1">
      <c r="A1339" s="8" t="s">
        <v>86</v>
      </c>
      <c r="B1339" s="8" t="str">
        <f>"刘敏"</f>
        <v>刘敏</v>
      </c>
      <c r="C1339" s="8" t="str">
        <f>"341182199208212820"</f>
        <v>341182199208212820</v>
      </c>
      <c r="D1339" s="8" t="str">
        <f>"20200304503"</f>
        <v>20200304503</v>
      </c>
      <c r="E1339" s="9">
        <v>49.9</v>
      </c>
      <c r="F1339" s="9">
        <v>69</v>
      </c>
      <c r="G1339" s="9">
        <f t="shared" si="20"/>
        <v>118.9</v>
      </c>
      <c r="H1339" s="8"/>
    </row>
    <row r="1340" spans="1:8" ht="22.5" customHeight="1">
      <c r="A1340" s="8" t="s">
        <v>86</v>
      </c>
      <c r="B1340" s="8" t="str">
        <f>"司闻文"</f>
        <v>司闻文</v>
      </c>
      <c r="C1340" s="8" t="str">
        <f>"34118219961231102X"</f>
        <v>34118219961231102X</v>
      </c>
      <c r="D1340" s="8" t="str">
        <f>"20200304406"</f>
        <v>20200304406</v>
      </c>
      <c r="E1340" s="9">
        <v>54.1</v>
      </c>
      <c r="F1340" s="9">
        <v>64.5</v>
      </c>
      <c r="G1340" s="9">
        <f t="shared" si="20"/>
        <v>118.6</v>
      </c>
      <c r="H1340" s="8"/>
    </row>
    <row r="1341" spans="1:8" ht="22.5" customHeight="1">
      <c r="A1341" s="8" t="s">
        <v>86</v>
      </c>
      <c r="B1341" s="8" t="str">
        <f>"张幸福"</f>
        <v>张幸福</v>
      </c>
      <c r="C1341" s="8" t="str">
        <f>"341182199710186410"</f>
        <v>341182199710186410</v>
      </c>
      <c r="D1341" s="8" t="str">
        <f>"20200304509"</f>
        <v>20200304509</v>
      </c>
      <c r="E1341" s="9">
        <v>49</v>
      </c>
      <c r="F1341" s="9">
        <v>69.5</v>
      </c>
      <c r="G1341" s="9">
        <f t="shared" si="20"/>
        <v>118.5</v>
      </c>
      <c r="H1341" s="8"/>
    </row>
    <row r="1342" spans="1:8" ht="22.5" customHeight="1">
      <c r="A1342" s="8" t="s">
        <v>86</v>
      </c>
      <c r="B1342" s="8" t="str">
        <f>"钱永路"</f>
        <v>钱永路</v>
      </c>
      <c r="C1342" s="8" t="str">
        <f>"341182199608230040"</f>
        <v>341182199608230040</v>
      </c>
      <c r="D1342" s="8" t="str">
        <f>"20200304506"</f>
        <v>20200304506</v>
      </c>
      <c r="E1342" s="9">
        <v>53.4</v>
      </c>
      <c r="F1342" s="9">
        <v>65</v>
      </c>
      <c r="G1342" s="9">
        <f t="shared" si="20"/>
        <v>118.4</v>
      </c>
      <c r="H1342" s="8"/>
    </row>
    <row r="1343" spans="1:8" ht="22.5" customHeight="1">
      <c r="A1343" s="8" t="s">
        <v>86</v>
      </c>
      <c r="B1343" s="8" t="str">
        <f>"包志凡"</f>
        <v>包志凡</v>
      </c>
      <c r="C1343" s="8" t="str">
        <f>"341182199702131823"</f>
        <v>341182199702131823</v>
      </c>
      <c r="D1343" s="8" t="str">
        <f>"20200304530"</f>
        <v>20200304530</v>
      </c>
      <c r="E1343" s="9">
        <v>49.4</v>
      </c>
      <c r="F1343" s="9">
        <v>69</v>
      </c>
      <c r="G1343" s="9">
        <f t="shared" si="20"/>
        <v>118.4</v>
      </c>
      <c r="H1343" s="8"/>
    </row>
    <row r="1344" spans="1:8" ht="22.5" customHeight="1">
      <c r="A1344" s="8" t="s">
        <v>86</v>
      </c>
      <c r="B1344" s="8" t="str">
        <f>"李晓"</f>
        <v>李晓</v>
      </c>
      <c r="C1344" s="8" t="str">
        <f>"341182199510180428"</f>
        <v>341182199510180428</v>
      </c>
      <c r="D1344" s="8" t="str">
        <f>"20200304809"</f>
        <v>20200304809</v>
      </c>
      <c r="E1344" s="9">
        <v>47.3</v>
      </c>
      <c r="F1344" s="9">
        <v>71</v>
      </c>
      <c r="G1344" s="9">
        <f t="shared" si="20"/>
        <v>118.3</v>
      </c>
      <c r="H1344" s="8"/>
    </row>
    <row r="1345" spans="1:8" ht="22.5" customHeight="1">
      <c r="A1345" s="8" t="s">
        <v>86</v>
      </c>
      <c r="B1345" s="8" t="str">
        <f>"蔡路路"</f>
        <v>蔡路路</v>
      </c>
      <c r="C1345" s="8" t="str">
        <f>"340322199501012565"</f>
        <v>340322199501012565</v>
      </c>
      <c r="D1345" s="8" t="str">
        <f>"20200304729"</f>
        <v>20200304729</v>
      </c>
      <c r="E1345" s="9">
        <v>52.7</v>
      </c>
      <c r="F1345" s="9">
        <v>65.5</v>
      </c>
      <c r="G1345" s="9">
        <f t="shared" si="20"/>
        <v>118.2</v>
      </c>
      <c r="H1345" s="8"/>
    </row>
    <row r="1346" spans="1:8" ht="22.5" customHeight="1">
      <c r="A1346" s="8" t="s">
        <v>86</v>
      </c>
      <c r="B1346" s="8" t="str">
        <f>"蒋瑞"</f>
        <v>蒋瑞</v>
      </c>
      <c r="C1346" s="8" t="str">
        <f>"341182199310103014"</f>
        <v>341182199310103014</v>
      </c>
      <c r="D1346" s="8" t="str">
        <f>"20200304715"</f>
        <v>20200304715</v>
      </c>
      <c r="E1346" s="9">
        <v>56.1</v>
      </c>
      <c r="F1346" s="9">
        <v>62</v>
      </c>
      <c r="G1346" s="9">
        <f t="shared" si="20"/>
        <v>118.1</v>
      </c>
      <c r="H1346" s="8"/>
    </row>
    <row r="1347" spans="1:8" ht="22.5" customHeight="1">
      <c r="A1347" s="8" t="s">
        <v>86</v>
      </c>
      <c r="B1347" s="8" t="str">
        <f>"户东旭"</f>
        <v>户东旭</v>
      </c>
      <c r="C1347" s="8" t="str">
        <f>"341182199508120039"</f>
        <v>341182199508120039</v>
      </c>
      <c r="D1347" s="8" t="str">
        <f>"20200304716"</f>
        <v>20200304716</v>
      </c>
      <c r="E1347" s="9">
        <v>45.1</v>
      </c>
      <c r="F1347" s="9">
        <v>73</v>
      </c>
      <c r="G1347" s="9">
        <f aca="true" t="shared" si="21" ref="G1347:G1410">E1347+F1347</f>
        <v>118.1</v>
      </c>
      <c r="H1347" s="8"/>
    </row>
    <row r="1348" spans="1:8" ht="22.5" customHeight="1">
      <c r="A1348" s="8" t="s">
        <v>86</v>
      </c>
      <c r="B1348" s="8" t="str">
        <f>"沐容楚楚"</f>
        <v>沐容楚楚</v>
      </c>
      <c r="C1348" s="8" t="str">
        <f>"341182199508300048"</f>
        <v>341182199508300048</v>
      </c>
      <c r="D1348" s="8" t="str">
        <f>"20200304615"</f>
        <v>20200304615</v>
      </c>
      <c r="E1348" s="9">
        <v>47</v>
      </c>
      <c r="F1348" s="9">
        <v>71</v>
      </c>
      <c r="G1348" s="9">
        <f t="shared" si="21"/>
        <v>118</v>
      </c>
      <c r="H1348" s="8"/>
    </row>
    <row r="1349" spans="1:8" ht="22.5" customHeight="1">
      <c r="A1349" s="8" t="s">
        <v>86</v>
      </c>
      <c r="B1349" s="8" t="str">
        <f>"牛吉"</f>
        <v>牛吉</v>
      </c>
      <c r="C1349" s="8" t="str">
        <f>"341182199604215417"</f>
        <v>341182199604215417</v>
      </c>
      <c r="D1349" s="8" t="str">
        <f>"20200304802"</f>
        <v>20200304802</v>
      </c>
      <c r="E1349" s="9">
        <v>48.5</v>
      </c>
      <c r="F1349" s="9">
        <v>69.5</v>
      </c>
      <c r="G1349" s="9">
        <f t="shared" si="21"/>
        <v>118</v>
      </c>
      <c r="H1349" s="8"/>
    </row>
    <row r="1350" spans="1:8" ht="22.5" customHeight="1">
      <c r="A1350" s="8" t="s">
        <v>86</v>
      </c>
      <c r="B1350" s="8" t="str">
        <f>"李宁"</f>
        <v>李宁</v>
      </c>
      <c r="C1350" s="8" t="str">
        <f>"341127199402204221"</f>
        <v>341127199402204221</v>
      </c>
      <c r="D1350" s="8" t="str">
        <f>"20200304724"</f>
        <v>20200304724</v>
      </c>
      <c r="E1350" s="9">
        <v>46.8</v>
      </c>
      <c r="F1350" s="9">
        <v>71</v>
      </c>
      <c r="G1350" s="9">
        <f t="shared" si="21"/>
        <v>117.8</v>
      </c>
      <c r="H1350" s="8"/>
    </row>
    <row r="1351" spans="1:8" ht="22.5" customHeight="1">
      <c r="A1351" s="8" t="s">
        <v>86</v>
      </c>
      <c r="B1351" s="8" t="str">
        <f>"张银川"</f>
        <v>张银川</v>
      </c>
      <c r="C1351" s="8" t="str">
        <f>"341182199608030639"</f>
        <v>341182199608030639</v>
      </c>
      <c r="D1351" s="8" t="str">
        <f>"20200304419"</f>
        <v>20200304419</v>
      </c>
      <c r="E1351" s="9">
        <v>47.6</v>
      </c>
      <c r="F1351" s="9">
        <v>70</v>
      </c>
      <c r="G1351" s="9">
        <f t="shared" si="21"/>
        <v>117.6</v>
      </c>
      <c r="H1351" s="8"/>
    </row>
    <row r="1352" spans="1:8" ht="22.5" customHeight="1">
      <c r="A1352" s="8" t="s">
        <v>86</v>
      </c>
      <c r="B1352" s="8" t="str">
        <f>"崔文豪"</f>
        <v>崔文豪</v>
      </c>
      <c r="C1352" s="8" t="str">
        <f>"340304199609120610"</f>
        <v>340304199609120610</v>
      </c>
      <c r="D1352" s="8" t="str">
        <f>"20200304516"</f>
        <v>20200304516</v>
      </c>
      <c r="E1352" s="9">
        <v>50.6</v>
      </c>
      <c r="F1352" s="9">
        <v>67</v>
      </c>
      <c r="G1352" s="9">
        <f t="shared" si="21"/>
        <v>117.6</v>
      </c>
      <c r="H1352" s="8"/>
    </row>
    <row r="1353" spans="1:8" ht="22.5" customHeight="1">
      <c r="A1353" s="8" t="s">
        <v>86</v>
      </c>
      <c r="B1353" s="8" t="str">
        <f>"董捷"</f>
        <v>董捷</v>
      </c>
      <c r="C1353" s="8" t="str">
        <f>"34118119951005162X"</f>
        <v>34118119951005162X</v>
      </c>
      <c r="D1353" s="8" t="str">
        <f>"20200305008"</f>
        <v>20200305008</v>
      </c>
      <c r="E1353" s="9">
        <v>50.6</v>
      </c>
      <c r="F1353" s="9">
        <v>67</v>
      </c>
      <c r="G1353" s="9">
        <f t="shared" si="21"/>
        <v>117.6</v>
      </c>
      <c r="H1353" s="8"/>
    </row>
    <row r="1354" spans="1:8" ht="22.5" customHeight="1">
      <c r="A1354" s="8" t="s">
        <v>86</v>
      </c>
      <c r="B1354" s="8" t="str">
        <f>"陈杨妍"</f>
        <v>陈杨妍</v>
      </c>
      <c r="C1354" s="8" t="str">
        <f>"341182199712260020"</f>
        <v>341182199712260020</v>
      </c>
      <c r="D1354" s="8" t="str">
        <f>"20200304620"</f>
        <v>20200304620</v>
      </c>
      <c r="E1354" s="9">
        <v>51</v>
      </c>
      <c r="F1354" s="9">
        <v>66.5</v>
      </c>
      <c r="G1354" s="9">
        <f t="shared" si="21"/>
        <v>117.5</v>
      </c>
      <c r="H1354" s="8"/>
    </row>
    <row r="1355" spans="1:8" ht="22.5" customHeight="1">
      <c r="A1355" s="8" t="s">
        <v>86</v>
      </c>
      <c r="B1355" s="8" t="str">
        <f>"徐伟"</f>
        <v>徐伟</v>
      </c>
      <c r="C1355" s="8" t="str">
        <f>"341182199609173658"</f>
        <v>341182199609173658</v>
      </c>
      <c r="D1355" s="8" t="str">
        <f>"20200304604"</f>
        <v>20200304604</v>
      </c>
      <c r="E1355" s="9">
        <v>49.7</v>
      </c>
      <c r="F1355" s="9">
        <v>67.5</v>
      </c>
      <c r="G1355" s="9">
        <f t="shared" si="21"/>
        <v>117.2</v>
      </c>
      <c r="H1355" s="8"/>
    </row>
    <row r="1356" spans="1:8" ht="22.5" customHeight="1">
      <c r="A1356" s="8" t="s">
        <v>86</v>
      </c>
      <c r="B1356" s="8" t="str">
        <f>"范慧敏"</f>
        <v>范慧敏</v>
      </c>
      <c r="C1356" s="8" t="str">
        <f>"34118219970621022X"</f>
        <v>34118219970621022X</v>
      </c>
      <c r="D1356" s="8" t="str">
        <f>"20200304721"</f>
        <v>20200304721</v>
      </c>
      <c r="E1356" s="9">
        <v>44.6</v>
      </c>
      <c r="F1356" s="9">
        <v>72.5</v>
      </c>
      <c r="G1356" s="9">
        <f t="shared" si="21"/>
        <v>117.1</v>
      </c>
      <c r="H1356" s="8"/>
    </row>
    <row r="1357" spans="1:8" ht="22.5" customHeight="1">
      <c r="A1357" s="8" t="s">
        <v>86</v>
      </c>
      <c r="B1357" s="8" t="str">
        <f>"孟安琦"</f>
        <v>孟安琦</v>
      </c>
      <c r="C1357" s="8" t="str">
        <f>"341126199512207822"</f>
        <v>341126199512207822</v>
      </c>
      <c r="D1357" s="8" t="str">
        <f>"20200304411"</f>
        <v>20200304411</v>
      </c>
      <c r="E1357" s="9">
        <v>48.3</v>
      </c>
      <c r="F1357" s="9">
        <v>68.5</v>
      </c>
      <c r="G1357" s="9">
        <f t="shared" si="21"/>
        <v>116.8</v>
      </c>
      <c r="H1357" s="8"/>
    </row>
    <row r="1358" spans="1:8" ht="22.5" customHeight="1">
      <c r="A1358" s="8" t="s">
        <v>86</v>
      </c>
      <c r="B1358" s="8" t="str">
        <f>"吕煜"</f>
        <v>吕煜</v>
      </c>
      <c r="C1358" s="8" t="str">
        <f>"341103199608131215"</f>
        <v>341103199608131215</v>
      </c>
      <c r="D1358" s="8" t="str">
        <f>"20200304421"</f>
        <v>20200304421</v>
      </c>
      <c r="E1358" s="9">
        <v>47.7</v>
      </c>
      <c r="F1358" s="9">
        <v>69</v>
      </c>
      <c r="G1358" s="9">
        <f t="shared" si="21"/>
        <v>116.7</v>
      </c>
      <c r="H1358" s="8"/>
    </row>
    <row r="1359" spans="1:8" ht="22.5" customHeight="1">
      <c r="A1359" s="8" t="s">
        <v>86</v>
      </c>
      <c r="B1359" s="8" t="str">
        <f>"余媛媛"</f>
        <v>余媛媛</v>
      </c>
      <c r="C1359" s="8" t="str">
        <f>"340503199402210429"</f>
        <v>340503199402210429</v>
      </c>
      <c r="D1359" s="8" t="str">
        <f>"20200304521"</f>
        <v>20200304521</v>
      </c>
      <c r="E1359" s="9">
        <v>46.1</v>
      </c>
      <c r="F1359" s="9">
        <v>70.5</v>
      </c>
      <c r="G1359" s="9">
        <f t="shared" si="21"/>
        <v>116.6</v>
      </c>
      <c r="H1359" s="8"/>
    </row>
    <row r="1360" spans="1:8" ht="22.5" customHeight="1">
      <c r="A1360" s="8" t="s">
        <v>86</v>
      </c>
      <c r="B1360" s="8" t="str">
        <f>"戴方云"</f>
        <v>戴方云</v>
      </c>
      <c r="C1360" s="8" t="str">
        <f>"341182199805026428"</f>
        <v>341182199805026428</v>
      </c>
      <c r="D1360" s="8" t="str">
        <f>"20200304705"</f>
        <v>20200304705</v>
      </c>
      <c r="E1360" s="9">
        <v>40.6</v>
      </c>
      <c r="F1360" s="9">
        <v>76</v>
      </c>
      <c r="G1360" s="9">
        <f t="shared" si="21"/>
        <v>116.6</v>
      </c>
      <c r="H1360" s="8"/>
    </row>
    <row r="1361" spans="1:8" ht="22.5" customHeight="1">
      <c r="A1361" s="8" t="s">
        <v>86</v>
      </c>
      <c r="B1361" s="8" t="str">
        <f>"蔡立群"</f>
        <v>蔡立群</v>
      </c>
      <c r="C1361" s="8" t="str">
        <f>"340826199501090021"</f>
        <v>340826199501090021</v>
      </c>
      <c r="D1361" s="8" t="str">
        <f>"20200304709"</f>
        <v>20200304709</v>
      </c>
      <c r="E1361" s="9">
        <v>48.6</v>
      </c>
      <c r="F1361" s="9">
        <v>68</v>
      </c>
      <c r="G1361" s="9">
        <f t="shared" si="21"/>
        <v>116.6</v>
      </c>
      <c r="H1361" s="8"/>
    </row>
    <row r="1362" spans="1:8" ht="22.5" customHeight="1">
      <c r="A1362" s="8" t="s">
        <v>86</v>
      </c>
      <c r="B1362" s="8" t="str">
        <f>"王敏"</f>
        <v>王敏</v>
      </c>
      <c r="C1362" s="8" t="str">
        <f>"341182199410224622"</f>
        <v>341182199410224622</v>
      </c>
      <c r="D1362" s="8" t="str">
        <f>"20200304427"</f>
        <v>20200304427</v>
      </c>
      <c r="E1362" s="9">
        <v>48.6</v>
      </c>
      <c r="F1362" s="9">
        <v>67.5</v>
      </c>
      <c r="G1362" s="9">
        <f t="shared" si="21"/>
        <v>116.1</v>
      </c>
      <c r="H1362" s="8"/>
    </row>
    <row r="1363" spans="1:8" ht="22.5" customHeight="1">
      <c r="A1363" s="8" t="s">
        <v>86</v>
      </c>
      <c r="B1363" s="8" t="str">
        <f>"汪涛"</f>
        <v>汪涛</v>
      </c>
      <c r="C1363" s="8" t="str">
        <f>"320830199602271017"</f>
        <v>320830199602271017</v>
      </c>
      <c r="D1363" s="8" t="str">
        <f>"20200304424"</f>
        <v>20200304424</v>
      </c>
      <c r="E1363" s="9">
        <v>49.7</v>
      </c>
      <c r="F1363" s="9">
        <v>66</v>
      </c>
      <c r="G1363" s="9">
        <f t="shared" si="21"/>
        <v>115.7</v>
      </c>
      <c r="H1363" s="8"/>
    </row>
    <row r="1364" spans="1:8" ht="22.5" customHeight="1">
      <c r="A1364" s="8" t="s">
        <v>86</v>
      </c>
      <c r="B1364" s="8" t="str">
        <f>"杨艳木"</f>
        <v>杨艳木</v>
      </c>
      <c r="C1364" s="8" t="str">
        <f>"341182199105092627"</f>
        <v>341182199105092627</v>
      </c>
      <c r="D1364" s="8" t="str">
        <f>"20200304908"</f>
        <v>20200304908</v>
      </c>
      <c r="E1364" s="9">
        <v>48.2</v>
      </c>
      <c r="F1364" s="9">
        <v>67.5</v>
      </c>
      <c r="G1364" s="9">
        <f t="shared" si="21"/>
        <v>115.7</v>
      </c>
      <c r="H1364" s="8"/>
    </row>
    <row r="1365" spans="1:8" ht="22.5" customHeight="1">
      <c r="A1365" s="8" t="s">
        <v>86</v>
      </c>
      <c r="B1365" s="8" t="str">
        <f>"魏瑶"</f>
        <v>魏瑶</v>
      </c>
      <c r="C1365" s="8" t="str">
        <f>"341182199702153221"</f>
        <v>341182199702153221</v>
      </c>
      <c r="D1365" s="8" t="str">
        <f>"20200304706"</f>
        <v>20200304706</v>
      </c>
      <c r="E1365" s="9">
        <v>48.6</v>
      </c>
      <c r="F1365" s="9">
        <v>67</v>
      </c>
      <c r="G1365" s="9">
        <f t="shared" si="21"/>
        <v>115.6</v>
      </c>
      <c r="H1365" s="8"/>
    </row>
    <row r="1366" spans="1:8" ht="22.5" customHeight="1">
      <c r="A1366" s="8" t="s">
        <v>86</v>
      </c>
      <c r="B1366" s="8" t="str">
        <f>"罗月"</f>
        <v>罗月</v>
      </c>
      <c r="C1366" s="8" t="str">
        <f>"34118219970626202X"</f>
        <v>34118219970626202X</v>
      </c>
      <c r="D1366" s="8" t="str">
        <f>"20200304617"</f>
        <v>20200304617</v>
      </c>
      <c r="E1366" s="9">
        <v>50</v>
      </c>
      <c r="F1366" s="9">
        <v>65.5</v>
      </c>
      <c r="G1366" s="9">
        <f t="shared" si="21"/>
        <v>115.5</v>
      </c>
      <c r="H1366" s="8"/>
    </row>
    <row r="1367" spans="1:8" ht="22.5" customHeight="1">
      <c r="A1367" s="8" t="s">
        <v>86</v>
      </c>
      <c r="B1367" s="8" t="str">
        <f>"王本卫"</f>
        <v>王本卫</v>
      </c>
      <c r="C1367" s="8" t="str">
        <f>"341182199303140415"</f>
        <v>341182199303140415</v>
      </c>
      <c r="D1367" s="8" t="str">
        <f>"20200305007"</f>
        <v>20200305007</v>
      </c>
      <c r="E1367" s="9">
        <v>52.9</v>
      </c>
      <c r="F1367" s="9">
        <v>62.5</v>
      </c>
      <c r="G1367" s="9">
        <f t="shared" si="21"/>
        <v>115.4</v>
      </c>
      <c r="H1367" s="8"/>
    </row>
    <row r="1368" spans="1:8" ht="22.5" customHeight="1">
      <c r="A1368" s="8" t="s">
        <v>86</v>
      </c>
      <c r="B1368" s="8" t="str">
        <f>"查梦雨"</f>
        <v>查梦雨</v>
      </c>
      <c r="C1368" s="8" t="str">
        <f>"341182199605120022"</f>
        <v>341182199605120022</v>
      </c>
      <c r="D1368" s="8" t="str">
        <f>"20200304522"</f>
        <v>20200304522</v>
      </c>
      <c r="E1368" s="9">
        <v>42.3</v>
      </c>
      <c r="F1368" s="9">
        <v>73</v>
      </c>
      <c r="G1368" s="9">
        <f t="shared" si="21"/>
        <v>115.3</v>
      </c>
      <c r="H1368" s="8"/>
    </row>
    <row r="1369" spans="1:8" ht="22.5" customHeight="1">
      <c r="A1369" s="8" t="s">
        <v>86</v>
      </c>
      <c r="B1369" s="8" t="str">
        <f>"袁健"</f>
        <v>袁健</v>
      </c>
      <c r="C1369" s="8" t="str">
        <f>"341182199212080031"</f>
        <v>341182199212080031</v>
      </c>
      <c r="D1369" s="8" t="str">
        <f>"20200304922"</f>
        <v>20200304922</v>
      </c>
      <c r="E1369" s="9">
        <v>47.8</v>
      </c>
      <c r="F1369" s="9">
        <v>67.5</v>
      </c>
      <c r="G1369" s="9">
        <f t="shared" si="21"/>
        <v>115.3</v>
      </c>
      <c r="H1369" s="8"/>
    </row>
    <row r="1370" spans="1:8" ht="22.5" customHeight="1">
      <c r="A1370" s="8" t="s">
        <v>86</v>
      </c>
      <c r="B1370" s="8" t="str">
        <f>"任童"</f>
        <v>任童</v>
      </c>
      <c r="C1370" s="8" t="str">
        <f>"341181199309125631"</f>
        <v>341181199309125631</v>
      </c>
      <c r="D1370" s="8" t="str">
        <f>"20200304807"</f>
        <v>20200304807</v>
      </c>
      <c r="E1370" s="9">
        <v>47</v>
      </c>
      <c r="F1370" s="9">
        <v>68</v>
      </c>
      <c r="G1370" s="9">
        <f t="shared" si="21"/>
        <v>115</v>
      </c>
      <c r="H1370" s="8"/>
    </row>
    <row r="1371" spans="1:8" ht="22.5" customHeight="1">
      <c r="A1371" s="8" t="s">
        <v>86</v>
      </c>
      <c r="B1371" s="8" t="str">
        <f>"许天和"</f>
        <v>许天和</v>
      </c>
      <c r="C1371" s="8" t="str">
        <f>"341126199712185613"</f>
        <v>341126199712185613</v>
      </c>
      <c r="D1371" s="8" t="str">
        <f>"20200304512"</f>
        <v>20200304512</v>
      </c>
      <c r="E1371" s="9">
        <v>46.3</v>
      </c>
      <c r="F1371" s="9">
        <v>68.5</v>
      </c>
      <c r="G1371" s="9">
        <f t="shared" si="21"/>
        <v>114.8</v>
      </c>
      <c r="H1371" s="8"/>
    </row>
    <row r="1372" spans="1:8" ht="22.5" customHeight="1">
      <c r="A1372" s="8" t="s">
        <v>86</v>
      </c>
      <c r="B1372" s="8" t="str">
        <f>"王玉"</f>
        <v>王玉</v>
      </c>
      <c r="C1372" s="8" t="str">
        <f>"340322199311100011"</f>
        <v>340322199311100011</v>
      </c>
      <c r="D1372" s="8" t="str">
        <f>"20200304608"</f>
        <v>20200304608</v>
      </c>
      <c r="E1372" s="9">
        <v>47.8</v>
      </c>
      <c r="F1372" s="9">
        <v>67</v>
      </c>
      <c r="G1372" s="9">
        <f t="shared" si="21"/>
        <v>114.8</v>
      </c>
      <c r="H1372" s="8"/>
    </row>
    <row r="1373" spans="1:8" ht="22.5" customHeight="1">
      <c r="A1373" s="8" t="s">
        <v>86</v>
      </c>
      <c r="B1373" s="8" t="str">
        <f>"王静"</f>
        <v>王静</v>
      </c>
      <c r="C1373" s="8" t="str">
        <f>"341182199008080026"</f>
        <v>341182199008080026</v>
      </c>
      <c r="D1373" s="8" t="str">
        <f>"20200304811"</f>
        <v>20200304811</v>
      </c>
      <c r="E1373" s="9">
        <v>45.4</v>
      </c>
      <c r="F1373" s="9">
        <v>69</v>
      </c>
      <c r="G1373" s="9">
        <f t="shared" si="21"/>
        <v>114.4</v>
      </c>
      <c r="H1373" s="8"/>
    </row>
    <row r="1374" spans="1:8" ht="22.5" customHeight="1">
      <c r="A1374" s="8" t="s">
        <v>86</v>
      </c>
      <c r="B1374" s="8" t="str">
        <f>"周娟"</f>
        <v>周娟</v>
      </c>
      <c r="C1374" s="8" t="str">
        <f>"341182199802032689"</f>
        <v>341182199802032689</v>
      </c>
      <c r="D1374" s="8" t="str">
        <f>"20200304621"</f>
        <v>20200304621</v>
      </c>
      <c r="E1374" s="9">
        <v>46.2</v>
      </c>
      <c r="F1374" s="9">
        <v>68</v>
      </c>
      <c r="G1374" s="9">
        <f t="shared" si="21"/>
        <v>114.2</v>
      </c>
      <c r="H1374" s="8"/>
    </row>
    <row r="1375" spans="1:8" ht="22.5" customHeight="1">
      <c r="A1375" s="8" t="s">
        <v>86</v>
      </c>
      <c r="B1375" s="8" t="str">
        <f>"杨云轩"</f>
        <v>杨云轩</v>
      </c>
      <c r="C1375" s="8" t="str">
        <f>"341182199112184685"</f>
        <v>341182199112184685</v>
      </c>
      <c r="D1375" s="8" t="str">
        <f>"20200304813"</f>
        <v>20200304813</v>
      </c>
      <c r="E1375" s="9">
        <v>48.2</v>
      </c>
      <c r="F1375" s="9">
        <v>66</v>
      </c>
      <c r="G1375" s="9">
        <f t="shared" si="21"/>
        <v>114.2</v>
      </c>
      <c r="H1375" s="8"/>
    </row>
    <row r="1376" spans="1:8" ht="22.5" customHeight="1">
      <c r="A1376" s="8" t="s">
        <v>86</v>
      </c>
      <c r="B1376" s="8" t="str">
        <f>"孙安悦"</f>
        <v>孙安悦</v>
      </c>
      <c r="C1376" s="8" t="str">
        <f>"34118219951226182X"</f>
        <v>34118219951226182X</v>
      </c>
      <c r="D1376" s="8" t="str">
        <f>"20200304409"</f>
        <v>20200304409</v>
      </c>
      <c r="E1376" s="9">
        <v>49.6</v>
      </c>
      <c r="F1376" s="9">
        <v>64.5</v>
      </c>
      <c r="G1376" s="9">
        <f t="shared" si="21"/>
        <v>114.1</v>
      </c>
      <c r="H1376" s="8"/>
    </row>
    <row r="1377" spans="1:8" ht="22.5" customHeight="1">
      <c r="A1377" s="8" t="s">
        <v>86</v>
      </c>
      <c r="B1377" s="8" t="str">
        <f>"朱勇杰"</f>
        <v>朱勇杰</v>
      </c>
      <c r="C1377" s="8" t="str">
        <f>"341182199507135810"</f>
        <v>341182199507135810</v>
      </c>
      <c r="D1377" s="8" t="str">
        <f>"20200304726"</f>
        <v>20200304726</v>
      </c>
      <c r="E1377" s="9">
        <v>44.5</v>
      </c>
      <c r="F1377" s="9">
        <v>69.5</v>
      </c>
      <c r="G1377" s="9">
        <f t="shared" si="21"/>
        <v>114</v>
      </c>
      <c r="H1377" s="8"/>
    </row>
    <row r="1378" spans="1:8" ht="22.5" customHeight="1">
      <c r="A1378" s="8" t="s">
        <v>86</v>
      </c>
      <c r="B1378" s="8" t="str">
        <f>"李月"</f>
        <v>李月</v>
      </c>
      <c r="C1378" s="8" t="str">
        <f>"341182199801040222"</f>
        <v>341182199801040222</v>
      </c>
      <c r="D1378" s="8" t="str">
        <f>"20200304613"</f>
        <v>20200304613</v>
      </c>
      <c r="E1378" s="9">
        <v>40.6</v>
      </c>
      <c r="F1378" s="9">
        <v>73</v>
      </c>
      <c r="G1378" s="9">
        <f t="shared" si="21"/>
        <v>113.6</v>
      </c>
      <c r="H1378" s="8"/>
    </row>
    <row r="1379" spans="1:8" ht="22.5" customHeight="1">
      <c r="A1379" s="8" t="s">
        <v>86</v>
      </c>
      <c r="B1379" s="8" t="str">
        <f>"胡雅婕"</f>
        <v>胡雅婕</v>
      </c>
      <c r="C1379" s="8" t="str">
        <f>"341127199612140027"</f>
        <v>341127199612140027</v>
      </c>
      <c r="D1379" s="8" t="str">
        <f>"20200304517"</f>
        <v>20200304517</v>
      </c>
      <c r="E1379" s="9">
        <v>42.4</v>
      </c>
      <c r="F1379" s="9">
        <v>71</v>
      </c>
      <c r="G1379" s="9">
        <f t="shared" si="21"/>
        <v>113.4</v>
      </c>
      <c r="H1379" s="8"/>
    </row>
    <row r="1380" spans="1:8" ht="22.5" customHeight="1">
      <c r="A1380" s="8" t="s">
        <v>86</v>
      </c>
      <c r="B1380" s="8" t="str">
        <f>"龙明星"</f>
        <v>龙明星</v>
      </c>
      <c r="C1380" s="8" t="str">
        <f>"34118219960924003X"</f>
        <v>34118219960924003X</v>
      </c>
      <c r="D1380" s="8" t="str">
        <f>"20200304607"</f>
        <v>20200304607</v>
      </c>
      <c r="E1380" s="9">
        <v>40.9</v>
      </c>
      <c r="F1380" s="9">
        <v>72.5</v>
      </c>
      <c r="G1380" s="9">
        <f t="shared" si="21"/>
        <v>113.4</v>
      </c>
      <c r="H1380" s="8"/>
    </row>
    <row r="1381" spans="1:8" ht="22.5" customHeight="1">
      <c r="A1381" s="8" t="s">
        <v>86</v>
      </c>
      <c r="B1381" s="8" t="str">
        <f>"毛玉洁"</f>
        <v>毛玉洁</v>
      </c>
      <c r="C1381" s="8" t="str">
        <f>"341182199802190222"</f>
        <v>341182199802190222</v>
      </c>
      <c r="D1381" s="8" t="str">
        <f>"20200304418"</f>
        <v>20200304418</v>
      </c>
      <c r="E1381" s="9">
        <v>42.8</v>
      </c>
      <c r="F1381" s="9">
        <v>70.5</v>
      </c>
      <c r="G1381" s="9">
        <f t="shared" si="21"/>
        <v>113.3</v>
      </c>
      <c r="H1381" s="8"/>
    </row>
    <row r="1382" spans="1:8" ht="22.5" customHeight="1">
      <c r="A1382" s="8" t="s">
        <v>86</v>
      </c>
      <c r="B1382" s="8" t="str">
        <f>"朱俊辉"</f>
        <v>朱俊辉</v>
      </c>
      <c r="C1382" s="8" t="str">
        <f>"341182199508255822"</f>
        <v>341182199508255822</v>
      </c>
      <c r="D1382" s="8" t="str">
        <f>"20200304816"</f>
        <v>20200304816</v>
      </c>
      <c r="E1382" s="9">
        <v>44</v>
      </c>
      <c r="F1382" s="9">
        <v>69</v>
      </c>
      <c r="G1382" s="9">
        <f t="shared" si="21"/>
        <v>113</v>
      </c>
      <c r="H1382" s="8"/>
    </row>
    <row r="1383" spans="1:8" ht="22.5" customHeight="1">
      <c r="A1383" s="8" t="s">
        <v>86</v>
      </c>
      <c r="B1383" s="8" t="str">
        <f>"李莹莹"</f>
        <v>李莹莹</v>
      </c>
      <c r="C1383" s="8" t="str">
        <f>"34032219900420884X"</f>
        <v>34032219900420884X</v>
      </c>
      <c r="D1383" s="8" t="str">
        <f>"20200304825"</f>
        <v>20200304825</v>
      </c>
      <c r="E1383" s="9">
        <v>45.3</v>
      </c>
      <c r="F1383" s="9">
        <v>67</v>
      </c>
      <c r="G1383" s="9">
        <f t="shared" si="21"/>
        <v>112.3</v>
      </c>
      <c r="H1383" s="8"/>
    </row>
    <row r="1384" spans="1:8" ht="22.5" customHeight="1">
      <c r="A1384" s="8" t="s">
        <v>86</v>
      </c>
      <c r="B1384" s="8" t="str">
        <f>"吴征阳"</f>
        <v>吴征阳</v>
      </c>
      <c r="C1384" s="8" t="str">
        <f>"341102199304240010"</f>
        <v>341102199304240010</v>
      </c>
      <c r="D1384" s="8" t="str">
        <f>"20200304728"</f>
        <v>20200304728</v>
      </c>
      <c r="E1384" s="9">
        <v>43.1</v>
      </c>
      <c r="F1384" s="9">
        <v>69</v>
      </c>
      <c r="G1384" s="9">
        <f t="shared" si="21"/>
        <v>112.1</v>
      </c>
      <c r="H1384" s="8"/>
    </row>
    <row r="1385" spans="1:8" ht="22.5" customHeight="1">
      <c r="A1385" s="8" t="s">
        <v>86</v>
      </c>
      <c r="B1385" s="8" t="str">
        <f>"陈福威"</f>
        <v>陈福威</v>
      </c>
      <c r="C1385" s="8" t="str">
        <f>"341182199602020018"</f>
        <v>341182199602020018</v>
      </c>
      <c r="D1385" s="8" t="str">
        <f>"20200304906"</f>
        <v>20200304906</v>
      </c>
      <c r="E1385" s="9">
        <v>42.1</v>
      </c>
      <c r="F1385" s="9">
        <v>70</v>
      </c>
      <c r="G1385" s="9">
        <f t="shared" si="21"/>
        <v>112.1</v>
      </c>
      <c r="H1385" s="8"/>
    </row>
    <row r="1386" spans="1:8" ht="22.5" customHeight="1">
      <c r="A1386" s="8" t="s">
        <v>86</v>
      </c>
      <c r="B1386" s="8" t="str">
        <f>"孟鑫言"</f>
        <v>孟鑫言</v>
      </c>
      <c r="C1386" s="8" t="str">
        <f>"341182199607190016"</f>
        <v>341182199607190016</v>
      </c>
      <c r="D1386" s="8" t="str">
        <f>"20200304720"</f>
        <v>20200304720</v>
      </c>
      <c r="E1386" s="9">
        <v>45.5</v>
      </c>
      <c r="F1386" s="9">
        <v>66.5</v>
      </c>
      <c r="G1386" s="9">
        <f t="shared" si="21"/>
        <v>112</v>
      </c>
      <c r="H1386" s="8"/>
    </row>
    <row r="1387" spans="1:8" ht="22.5" customHeight="1">
      <c r="A1387" s="8" t="s">
        <v>86</v>
      </c>
      <c r="B1387" s="8" t="str">
        <f>"李平"</f>
        <v>李平</v>
      </c>
      <c r="C1387" s="8" t="str">
        <f>"342201199603073224"</f>
        <v>342201199603073224</v>
      </c>
      <c r="D1387" s="8" t="str">
        <f>"20200304806"</f>
        <v>20200304806</v>
      </c>
      <c r="E1387" s="9">
        <v>42.5</v>
      </c>
      <c r="F1387" s="9">
        <v>69.5</v>
      </c>
      <c r="G1387" s="9">
        <f t="shared" si="21"/>
        <v>112</v>
      </c>
      <c r="H1387" s="8"/>
    </row>
    <row r="1388" spans="1:8" ht="22.5" customHeight="1">
      <c r="A1388" s="8" t="s">
        <v>86</v>
      </c>
      <c r="B1388" s="8" t="str">
        <f>"张翔"</f>
        <v>张翔</v>
      </c>
      <c r="C1388" s="8" t="str">
        <f>"341127199306062817"</f>
        <v>341127199306062817</v>
      </c>
      <c r="D1388" s="8" t="str">
        <f>"20200305012"</f>
        <v>20200305012</v>
      </c>
      <c r="E1388" s="9">
        <v>42.4</v>
      </c>
      <c r="F1388" s="9">
        <v>69.5</v>
      </c>
      <c r="G1388" s="9">
        <f t="shared" si="21"/>
        <v>111.9</v>
      </c>
      <c r="H1388" s="8"/>
    </row>
    <row r="1389" spans="1:8" ht="22.5" customHeight="1">
      <c r="A1389" s="8" t="s">
        <v>86</v>
      </c>
      <c r="B1389" s="8" t="str">
        <f>"陆飞"</f>
        <v>陆飞</v>
      </c>
      <c r="C1389" s="8" t="str">
        <f>"341182199303182412"</f>
        <v>341182199303182412</v>
      </c>
      <c r="D1389" s="8" t="str">
        <f>"20200304916"</f>
        <v>20200304916</v>
      </c>
      <c r="E1389" s="9">
        <v>49.7</v>
      </c>
      <c r="F1389" s="9">
        <v>62</v>
      </c>
      <c r="G1389" s="9">
        <f t="shared" si="21"/>
        <v>111.7</v>
      </c>
      <c r="H1389" s="8"/>
    </row>
    <row r="1390" spans="1:8" ht="22.5" customHeight="1">
      <c r="A1390" s="8" t="s">
        <v>86</v>
      </c>
      <c r="B1390" s="8" t="str">
        <f>"刘雪丽"</f>
        <v>刘雪丽</v>
      </c>
      <c r="C1390" s="8" t="str">
        <f>"341182199810163427"</f>
        <v>341182199810163427</v>
      </c>
      <c r="D1390" s="8" t="str">
        <f>"20200304413"</f>
        <v>20200304413</v>
      </c>
      <c r="E1390" s="9">
        <v>41.6</v>
      </c>
      <c r="F1390" s="9">
        <v>70</v>
      </c>
      <c r="G1390" s="9">
        <f t="shared" si="21"/>
        <v>111.6</v>
      </c>
      <c r="H1390" s="8"/>
    </row>
    <row r="1391" spans="1:8" ht="22.5" customHeight="1">
      <c r="A1391" s="8" t="s">
        <v>86</v>
      </c>
      <c r="B1391" s="8" t="str">
        <f>"王结"</f>
        <v>王结</v>
      </c>
      <c r="C1391" s="8" t="str">
        <f>"340828199712142728"</f>
        <v>340828199712142728</v>
      </c>
      <c r="D1391" s="8" t="str">
        <f>"20200304713"</f>
        <v>20200304713</v>
      </c>
      <c r="E1391" s="9">
        <v>43.4</v>
      </c>
      <c r="F1391" s="9">
        <v>68</v>
      </c>
      <c r="G1391" s="9">
        <f t="shared" si="21"/>
        <v>111.4</v>
      </c>
      <c r="H1391" s="8"/>
    </row>
    <row r="1392" spans="1:8" ht="22.5" customHeight="1">
      <c r="A1392" s="8" t="s">
        <v>86</v>
      </c>
      <c r="B1392" s="8" t="str">
        <f>"张婕"</f>
        <v>张婕</v>
      </c>
      <c r="C1392" s="8" t="str">
        <f>"341127199710282440"</f>
        <v>341127199710282440</v>
      </c>
      <c r="D1392" s="8" t="str">
        <f>"20200304920"</f>
        <v>20200304920</v>
      </c>
      <c r="E1392" s="9">
        <v>43</v>
      </c>
      <c r="F1392" s="9">
        <v>68</v>
      </c>
      <c r="G1392" s="9">
        <f t="shared" si="21"/>
        <v>111</v>
      </c>
      <c r="H1392" s="8"/>
    </row>
    <row r="1393" spans="1:8" ht="22.5" customHeight="1">
      <c r="A1393" s="8" t="s">
        <v>86</v>
      </c>
      <c r="B1393" s="8" t="str">
        <f>"祖兆玉"</f>
        <v>祖兆玉</v>
      </c>
      <c r="C1393" s="8" t="str">
        <f>"341182199504162434"</f>
        <v>341182199504162434</v>
      </c>
      <c r="D1393" s="8" t="str">
        <f>"20200304610"</f>
        <v>20200304610</v>
      </c>
      <c r="E1393" s="9">
        <v>46.4</v>
      </c>
      <c r="F1393" s="9">
        <v>64.5</v>
      </c>
      <c r="G1393" s="9">
        <f t="shared" si="21"/>
        <v>110.9</v>
      </c>
      <c r="H1393" s="8"/>
    </row>
    <row r="1394" spans="1:8" ht="22.5" customHeight="1">
      <c r="A1394" s="8" t="s">
        <v>86</v>
      </c>
      <c r="B1394" s="8" t="str">
        <f>"司俊岭"</f>
        <v>司俊岭</v>
      </c>
      <c r="C1394" s="8" t="str">
        <f>"341182199410012697"</f>
        <v>341182199410012697</v>
      </c>
      <c r="D1394" s="8" t="str">
        <f>"20200304629"</f>
        <v>20200304629</v>
      </c>
      <c r="E1394" s="9">
        <v>48.4</v>
      </c>
      <c r="F1394" s="9">
        <v>62.5</v>
      </c>
      <c r="G1394" s="9">
        <f t="shared" si="21"/>
        <v>110.9</v>
      </c>
      <c r="H1394" s="8"/>
    </row>
    <row r="1395" spans="1:8" ht="22.5" customHeight="1">
      <c r="A1395" s="8" t="s">
        <v>86</v>
      </c>
      <c r="B1395" s="8" t="str">
        <f>"孟宪楠"</f>
        <v>孟宪楠</v>
      </c>
      <c r="C1395" s="8" t="str">
        <f>"341182199710170224"</f>
        <v>341182199710170224</v>
      </c>
      <c r="D1395" s="8" t="str">
        <f>"20200304718"</f>
        <v>20200304718</v>
      </c>
      <c r="E1395" s="9">
        <v>40.8</v>
      </c>
      <c r="F1395" s="9">
        <v>70</v>
      </c>
      <c r="G1395" s="9">
        <f t="shared" si="21"/>
        <v>110.8</v>
      </c>
      <c r="H1395" s="8"/>
    </row>
    <row r="1396" spans="1:8" ht="22.5" customHeight="1">
      <c r="A1396" s="8" t="s">
        <v>86</v>
      </c>
      <c r="B1396" s="8" t="str">
        <f>"蒋瀚"</f>
        <v>蒋瀚</v>
      </c>
      <c r="C1396" s="8" t="str">
        <f>"341182199106130031"</f>
        <v>341182199106130031</v>
      </c>
      <c r="D1396" s="8" t="str">
        <f>"20200304707"</f>
        <v>20200304707</v>
      </c>
      <c r="E1396" s="9">
        <v>46.7</v>
      </c>
      <c r="F1396" s="9">
        <v>64</v>
      </c>
      <c r="G1396" s="9">
        <f t="shared" si="21"/>
        <v>110.7</v>
      </c>
      <c r="H1396" s="8"/>
    </row>
    <row r="1397" spans="1:8" ht="22.5" customHeight="1">
      <c r="A1397" s="8" t="s">
        <v>86</v>
      </c>
      <c r="B1397" s="8" t="str">
        <f>"李明"</f>
        <v>李明</v>
      </c>
      <c r="C1397" s="8" t="str">
        <f>"341182199309111818"</f>
        <v>341182199309111818</v>
      </c>
      <c r="D1397" s="8" t="str">
        <f>"20200304913"</f>
        <v>20200304913</v>
      </c>
      <c r="E1397" s="9">
        <v>41.7</v>
      </c>
      <c r="F1397" s="9">
        <v>69</v>
      </c>
      <c r="G1397" s="9">
        <f t="shared" si="21"/>
        <v>110.7</v>
      </c>
      <c r="H1397" s="8"/>
    </row>
    <row r="1398" spans="1:8" ht="22.5" customHeight="1">
      <c r="A1398" s="8" t="s">
        <v>86</v>
      </c>
      <c r="B1398" s="8" t="str">
        <f>"孙圣松"</f>
        <v>孙圣松</v>
      </c>
      <c r="C1398" s="8" t="str">
        <f>"341182199308310030"</f>
        <v>341182199308310030</v>
      </c>
      <c r="D1398" s="8" t="str">
        <f>"20200304714"</f>
        <v>20200304714</v>
      </c>
      <c r="E1398" s="9">
        <v>44</v>
      </c>
      <c r="F1398" s="9">
        <v>66.5</v>
      </c>
      <c r="G1398" s="9">
        <f t="shared" si="21"/>
        <v>110.5</v>
      </c>
      <c r="H1398" s="8"/>
    </row>
    <row r="1399" spans="1:8" ht="22.5" customHeight="1">
      <c r="A1399" s="8" t="s">
        <v>86</v>
      </c>
      <c r="B1399" s="8" t="str">
        <f>"张清波"</f>
        <v>张清波</v>
      </c>
      <c r="C1399" s="8" t="str">
        <f>"341182199411250013"</f>
        <v>341182199411250013</v>
      </c>
      <c r="D1399" s="8" t="str">
        <f>"20200304625"</f>
        <v>20200304625</v>
      </c>
      <c r="E1399" s="9">
        <v>39.4</v>
      </c>
      <c r="F1399" s="9">
        <v>71</v>
      </c>
      <c r="G1399" s="9">
        <f t="shared" si="21"/>
        <v>110.4</v>
      </c>
      <c r="H1399" s="8"/>
    </row>
    <row r="1400" spans="1:8" ht="22.5" customHeight="1">
      <c r="A1400" s="8" t="s">
        <v>86</v>
      </c>
      <c r="B1400" s="8" t="str">
        <f>"纪其虎"</f>
        <v>纪其虎</v>
      </c>
      <c r="C1400" s="8" t="str">
        <f>"341182199804100219"</f>
        <v>341182199804100219</v>
      </c>
      <c r="D1400" s="8" t="str">
        <f>"20200304924"</f>
        <v>20200304924</v>
      </c>
      <c r="E1400" s="9">
        <v>39.4</v>
      </c>
      <c r="F1400" s="9">
        <v>71</v>
      </c>
      <c r="G1400" s="9">
        <f t="shared" si="21"/>
        <v>110.4</v>
      </c>
      <c r="H1400" s="8"/>
    </row>
    <row r="1401" spans="1:8" ht="22.5" customHeight="1">
      <c r="A1401" s="8" t="s">
        <v>86</v>
      </c>
      <c r="B1401" s="8" t="str">
        <f>"卞其乐"</f>
        <v>卞其乐</v>
      </c>
      <c r="C1401" s="8" t="str">
        <f>"341182199305070617"</f>
        <v>341182199305070617</v>
      </c>
      <c r="D1401" s="8" t="str">
        <f>"20200304701"</f>
        <v>20200304701</v>
      </c>
      <c r="E1401" s="9">
        <v>42.1</v>
      </c>
      <c r="F1401" s="9">
        <v>68</v>
      </c>
      <c r="G1401" s="9">
        <f t="shared" si="21"/>
        <v>110.1</v>
      </c>
      <c r="H1401" s="8"/>
    </row>
    <row r="1402" spans="1:8" ht="22.5" customHeight="1">
      <c r="A1402" s="8" t="s">
        <v>86</v>
      </c>
      <c r="B1402" s="8" t="str">
        <f>"赵雨默"</f>
        <v>赵雨默</v>
      </c>
      <c r="C1402" s="8" t="str">
        <f>"341126199509032320"</f>
        <v>341126199509032320</v>
      </c>
      <c r="D1402" s="8" t="str">
        <f>"20200304830"</f>
        <v>20200304830</v>
      </c>
      <c r="E1402" s="9">
        <v>49.5</v>
      </c>
      <c r="F1402" s="9">
        <v>60.5</v>
      </c>
      <c r="G1402" s="9">
        <f t="shared" si="21"/>
        <v>110</v>
      </c>
      <c r="H1402" s="8"/>
    </row>
    <row r="1403" spans="1:8" ht="22.5" customHeight="1">
      <c r="A1403" s="8" t="s">
        <v>86</v>
      </c>
      <c r="B1403" s="8" t="str">
        <f>"王钰莹"</f>
        <v>王钰莹</v>
      </c>
      <c r="C1403" s="8" t="str">
        <f>"341182199308160028"</f>
        <v>341182199308160028</v>
      </c>
      <c r="D1403" s="8" t="str">
        <f>"20200304417"</f>
        <v>20200304417</v>
      </c>
      <c r="E1403" s="9">
        <v>44.3</v>
      </c>
      <c r="F1403" s="9">
        <v>65.5</v>
      </c>
      <c r="G1403" s="9">
        <f t="shared" si="21"/>
        <v>109.8</v>
      </c>
      <c r="H1403" s="8"/>
    </row>
    <row r="1404" spans="1:8" ht="22.5" customHeight="1">
      <c r="A1404" s="8" t="s">
        <v>86</v>
      </c>
      <c r="B1404" s="8" t="str">
        <f>"陈萍"</f>
        <v>陈萍</v>
      </c>
      <c r="C1404" s="8" t="str">
        <f>"34118219961001382X"</f>
        <v>34118219961001382X</v>
      </c>
      <c r="D1404" s="8" t="str">
        <f>"20200304909"</f>
        <v>20200304909</v>
      </c>
      <c r="E1404" s="9">
        <v>40.7</v>
      </c>
      <c r="F1404" s="9">
        <v>69</v>
      </c>
      <c r="G1404" s="9">
        <f t="shared" si="21"/>
        <v>109.7</v>
      </c>
      <c r="H1404" s="8"/>
    </row>
    <row r="1405" spans="1:8" ht="22.5" customHeight="1">
      <c r="A1405" s="8" t="s">
        <v>86</v>
      </c>
      <c r="B1405" s="8" t="str">
        <f>"周月"</f>
        <v>周月</v>
      </c>
      <c r="C1405" s="8" t="str">
        <f>"341182199404203040"</f>
        <v>341182199404203040</v>
      </c>
      <c r="D1405" s="8" t="str">
        <f>"20200304704"</f>
        <v>20200304704</v>
      </c>
      <c r="E1405" s="9">
        <v>40.1</v>
      </c>
      <c r="F1405" s="9">
        <v>69.5</v>
      </c>
      <c r="G1405" s="9">
        <f t="shared" si="21"/>
        <v>109.6</v>
      </c>
      <c r="H1405" s="8"/>
    </row>
    <row r="1406" spans="1:8" ht="22.5" customHeight="1">
      <c r="A1406" s="8" t="s">
        <v>86</v>
      </c>
      <c r="B1406" s="8" t="str">
        <f>"戴瑾"</f>
        <v>戴瑾</v>
      </c>
      <c r="C1406" s="8" t="str">
        <f>"341182199810100223"</f>
        <v>341182199810100223</v>
      </c>
      <c r="D1406" s="8" t="str">
        <f>"20200304403"</f>
        <v>20200304403</v>
      </c>
      <c r="E1406" s="9">
        <v>42.9</v>
      </c>
      <c r="F1406" s="9">
        <v>66.5</v>
      </c>
      <c r="G1406" s="9">
        <f t="shared" si="21"/>
        <v>109.4</v>
      </c>
      <c r="H1406" s="8"/>
    </row>
    <row r="1407" spans="1:8" ht="22.5" customHeight="1">
      <c r="A1407" s="8" t="s">
        <v>86</v>
      </c>
      <c r="B1407" s="8" t="str">
        <f>"徐亮亮"</f>
        <v>徐亮亮</v>
      </c>
      <c r="C1407" s="8" t="str">
        <f>"341182199411122257"</f>
        <v>341182199411122257</v>
      </c>
      <c r="D1407" s="8" t="str">
        <f>"20200304412"</f>
        <v>20200304412</v>
      </c>
      <c r="E1407" s="9">
        <v>44.1</v>
      </c>
      <c r="F1407" s="9">
        <v>65</v>
      </c>
      <c r="G1407" s="9">
        <f t="shared" si="21"/>
        <v>109.1</v>
      </c>
      <c r="H1407" s="8"/>
    </row>
    <row r="1408" spans="1:8" ht="22.5" customHeight="1">
      <c r="A1408" s="8" t="s">
        <v>86</v>
      </c>
      <c r="B1408" s="8" t="str">
        <f>"汪星竹"</f>
        <v>汪星竹</v>
      </c>
      <c r="C1408" s="8" t="str">
        <f>"341182199807080225"</f>
        <v>341182199807080225</v>
      </c>
      <c r="D1408" s="8" t="str">
        <f>"20200304829"</f>
        <v>20200304829</v>
      </c>
      <c r="E1408" s="9">
        <v>40.6</v>
      </c>
      <c r="F1408" s="9">
        <v>68.5</v>
      </c>
      <c r="G1408" s="9">
        <f t="shared" si="21"/>
        <v>109.1</v>
      </c>
      <c r="H1408" s="8"/>
    </row>
    <row r="1409" spans="1:8" ht="22.5" customHeight="1">
      <c r="A1409" s="8" t="s">
        <v>86</v>
      </c>
      <c r="B1409" s="8" t="str">
        <f>"詹少秋"</f>
        <v>詹少秋</v>
      </c>
      <c r="C1409" s="8" t="str">
        <f>"341182199508080639"</f>
        <v>341182199508080639</v>
      </c>
      <c r="D1409" s="8" t="str">
        <f>"20200304904"</f>
        <v>20200304904</v>
      </c>
      <c r="E1409" s="9">
        <v>45</v>
      </c>
      <c r="F1409" s="9">
        <v>64</v>
      </c>
      <c r="G1409" s="9">
        <f t="shared" si="21"/>
        <v>109</v>
      </c>
      <c r="H1409" s="8"/>
    </row>
    <row r="1410" spans="1:8" ht="22.5" customHeight="1">
      <c r="A1410" s="8" t="s">
        <v>86</v>
      </c>
      <c r="B1410" s="8" t="str">
        <f>"李广源"</f>
        <v>李广源</v>
      </c>
      <c r="C1410" s="8" t="str">
        <f>"341126199606211216"</f>
        <v>341126199606211216</v>
      </c>
      <c r="D1410" s="8" t="str">
        <f>"20200305002"</f>
        <v>20200305002</v>
      </c>
      <c r="E1410" s="9">
        <v>42</v>
      </c>
      <c r="F1410" s="9">
        <v>67</v>
      </c>
      <c r="G1410" s="9">
        <f t="shared" si="21"/>
        <v>109</v>
      </c>
      <c r="H1410" s="8"/>
    </row>
    <row r="1411" spans="1:8" ht="22.5" customHeight="1">
      <c r="A1411" s="8" t="s">
        <v>86</v>
      </c>
      <c r="B1411" s="8" t="str">
        <f>"杨旸"</f>
        <v>杨旸</v>
      </c>
      <c r="C1411" s="8" t="str">
        <f>"341182199204141615"</f>
        <v>341182199204141615</v>
      </c>
      <c r="D1411" s="8" t="str">
        <f>"20200304826"</f>
        <v>20200304826</v>
      </c>
      <c r="E1411" s="9">
        <v>44.4</v>
      </c>
      <c r="F1411" s="9">
        <v>64.5</v>
      </c>
      <c r="G1411" s="9">
        <f aca="true" t="shared" si="22" ref="G1411:G1474">E1411+F1411</f>
        <v>108.9</v>
      </c>
      <c r="H1411" s="8"/>
    </row>
    <row r="1412" spans="1:8" ht="22.5" customHeight="1">
      <c r="A1412" s="8" t="s">
        <v>86</v>
      </c>
      <c r="B1412" s="8" t="str">
        <f>"张新月"</f>
        <v>张新月</v>
      </c>
      <c r="C1412" s="8" t="str">
        <f>"341182199712022620"</f>
        <v>341182199712022620</v>
      </c>
      <c r="D1412" s="8" t="str">
        <f>"20200304616"</f>
        <v>20200304616</v>
      </c>
      <c r="E1412" s="9">
        <v>40.7</v>
      </c>
      <c r="F1412" s="9">
        <v>68</v>
      </c>
      <c r="G1412" s="9">
        <f t="shared" si="22"/>
        <v>108.7</v>
      </c>
      <c r="H1412" s="8"/>
    </row>
    <row r="1413" spans="1:8" ht="22.5" customHeight="1">
      <c r="A1413" s="8" t="s">
        <v>86</v>
      </c>
      <c r="B1413" s="8" t="str">
        <f>"陈磊"</f>
        <v>陈磊</v>
      </c>
      <c r="C1413" s="8" t="str">
        <f>"341126199506241231"</f>
        <v>341126199506241231</v>
      </c>
      <c r="D1413" s="8" t="str">
        <f>"20200304702"</f>
        <v>20200304702</v>
      </c>
      <c r="E1413" s="9">
        <v>37.2</v>
      </c>
      <c r="F1413" s="9">
        <v>71</v>
      </c>
      <c r="G1413" s="9">
        <f t="shared" si="22"/>
        <v>108.2</v>
      </c>
      <c r="H1413" s="8"/>
    </row>
    <row r="1414" spans="1:8" ht="22.5" customHeight="1">
      <c r="A1414" s="8" t="s">
        <v>86</v>
      </c>
      <c r="B1414" s="8" t="str">
        <f>"张雪"</f>
        <v>张雪</v>
      </c>
      <c r="C1414" s="8" t="str">
        <f>"341182199103070221"</f>
        <v>341182199103070221</v>
      </c>
      <c r="D1414" s="8" t="str">
        <f>"20200304609"</f>
        <v>20200304609</v>
      </c>
      <c r="E1414" s="9">
        <v>42.7</v>
      </c>
      <c r="F1414" s="9">
        <v>65</v>
      </c>
      <c r="G1414" s="9">
        <f t="shared" si="22"/>
        <v>107.7</v>
      </c>
      <c r="H1414" s="8"/>
    </row>
    <row r="1415" spans="1:8" ht="22.5" customHeight="1">
      <c r="A1415" s="8" t="s">
        <v>86</v>
      </c>
      <c r="B1415" s="8" t="str">
        <f>"程茂盛"</f>
        <v>程茂盛</v>
      </c>
      <c r="C1415" s="8" t="str">
        <f>"341182198911120018"</f>
        <v>341182198911120018</v>
      </c>
      <c r="D1415" s="8" t="str">
        <f>"20200305004"</f>
        <v>20200305004</v>
      </c>
      <c r="E1415" s="9">
        <v>44.2</v>
      </c>
      <c r="F1415" s="9">
        <v>63.5</v>
      </c>
      <c r="G1415" s="9">
        <f t="shared" si="22"/>
        <v>107.7</v>
      </c>
      <c r="H1415" s="8"/>
    </row>
    <row r="1416" spans="1:8" ht="22.5" customHeight="1">
      <c r="A1416" s="8" t="s">
        <v>86</v>
      </c>
      <c r="B1416" s="8" t="str">
        <f>"丁小云"</f>
        <v>丁小云</v>
      </c>
      <c r="C1416" s="8" t="str">
        <f>"341182199102010227"</f>
        <v>341182199102010227</v>
      </c>
      <c r="D1416" s="8" t="str">
        <f>"20200304622"</f>
        <v>20200304622</v>
      </c>
      <c r="E1416" s="9">
        <v>35.9</v>
      </c>
      <c r="F1416" s="9">
        <v>71.5</v>
      </c>
      <c r="G1416" s="9">
        <f t="shared" si="22"/>
        <v>107.4</v>
      </c>
      <c r="H1416" s="8"/>
    </row>
    <row r="1417" spans="1:8" ht="22.5" customHeight="1">
      <c r="A1417" s="8" t="s">
        <v>86</v>
      </c>
      <c r="B1417" s="8" t="str">
        <f>"陈帅"</f>
        <v>陈帅</v>
      </c>
      <c r="C1417" s="8" t="str">
        <f>"341182199711252416"</f>
        <v>341182199711252416</v>
      </c>
      <c r="D1417" s="8" t="str">
        <f>"20200304605"</f>
        <v>20200304605</v>
      </c>
      <c r="E1417" s="9">
        <v>38.8</v>
      </c>
      <c r="F1417" s="9">
        <v>68.5</v>
      </c>
      <c r="G1417" s="9">
        <f t="shared" si="22"/>
        <v>107.3</v>
      </c>
      <c r="H1417" s="8"/>
    </row>
    <row r="1418" spans="1:8" ht="22.5" customHeight="1">
      <c r="A1418" s="8" t="s">
        <v>86</v>
      </c>
      <c r="B1418" s="8" t="str">
        <f>"刘璐"</f>
        <v>刘璐</v>
      </c>
      <c r="C1418" s="8" t="str">
        <f>"341182199708260028"</f>
        <v>341182199708260028</v>
      </c>
      <c r="D1418" s="8" t="str">
        <f>"20200304429"</f>
        <v>20200304429</v>
      </c>
      <c r="E1418" s="9">
        <v>40.1</v>
      </c>
      <c r="F1418" s="9">
        <v>67</v>
      </c>
      <c r="G1418" s="9">
        <f t="shared" si="22"/>
        <v>107.1</v>
      </c>
      <c r="H1418" s="8"/>
    </row>
    <row r="1419" spans="1:8" ht="22.5" customHeight="1">
      <c r="A1419" s="8" t="s">
        <v>86</v>
      </c>
      <c r="B1419" s="8" t="str">
        <f>"余苇"</f>
        <v>余苇</v>
      </c>
      <c r="C1419" s="8" t="str">
        <f>"341182199707196028"</f>
        <v>341182199707196028</v>
      </c>
      <c r="D1419" s="8" t="str">
        <f>"20200304823"</f>
        <v>20200304823</v>
      </c>
      <c r="E1419" s="9">
        <v>36.2</v>
      </c>
      <c r="F1419" s="9">
        <v>70.5</v>
      </c>
      <c r="G1419" s="9">
        <f t="shared" si="22"/>
        <v>106.7</v>
      </c>
      <c r="H1419" s="8"/>
    </row>
    <row r="1420" spans="1:8" ht="22.5" customHeight="1">
      <c r="A1420" s="8" t="s">
        <v>86</v>
      </c>
      <c r="B1420" s="8" t="str">
        <f>"蔡禹良"</f>
        <v>蔡禹良</v>
      </c>
      <c r="C1420" s="8" t="str">
        <f>"341182199311050217"</f>
        <v>341182199311050217</v>
      </c>
      <c r="D1420" s="8" t="str">
        <f>"20200304925"</f>
        <v>20200304925</v>
      </c>
      <c r="E1420" s="9">
        <v>43.2</v>
      </c>
      <c r="F1420" s="9">
        <v>63</v>
      </c>
      <c r="G1420" s="9">
        <f t="shared" si="22"/>
        <v>106.2</v>
      </c>
      <c r="H1420" s="8"/>
    </row>
    <row r="1421" spans="1:8" ht="22.5" customHeight="1">
      <c r="A1421" s="8" t="s">
        <v>86</v>
      </c>
      <c r="B1421" s="8" t="str">
        <f>"杨瑞"</f>
        <v>杨瑞</v>
      </c>
      <c r="C1421" s="8" t="str">
        <f>"341182199311130217"</f>
        <v>341182199311130217</v>
      </c>
      <c r="D1421" s="8" t="str">
        <f>"20200304725"</f>
        <v>20200304725</v>
      </c>
      <c r="E1421" s="9">
        <v>39.1</v>
      </c>
      <c r="F1421" s="9">
        <v>67</v>
      </c>
      <c r="G1421" s="9">
        <f t="shared" si="22"/>
        <v>106.1</v>
      </c>
      <c r="H1421" s="8"/>
    </row>
    <row r="1422" spans="1:8" ht="22.5" customHeight="1">
      <c r="A1422" s="8" t="s">
        <v>86</v>
      </c>
      <c r="B1422" s="8" t="str">
        <f>"朱玲"</f>
        <v>朱玲</v>
      </c>
      <c r="C1422" s="8" t="str">
        <f>"341182199803101041"</f>
        <v>341182199803101041</v>
      </c>
      <c r="D1422" s="8" t="str">
        <f>"20200304627"</f>
        <v>20200304627</v>
      </c>
      <c r="E1422" s="9">
        <v>39.5</v>
      </c>
      <c r="F1422" s="9">
        <v>66.5</v>
      </c>
      <c r="G1422" s="9">
        <f t="shared" si="22"/>
        <v>106</v>
      </c>
      <c r="H1422" s="8"/>
    </row>
    <row r="1423" spans="1:8" ht="22.5" customHeight="1">
      <c r="A1423" s="8" t="s">
        <v>86</v>
      </c>
      <c r="B1423" s="8" t="str">
        <f>"刘畅"</f>
        <v>刘畅</v>
      </c>
      <c r="C1423" s="8" t="str">
        <f>"341103199301105012"</f>
        <v>341103199301105012</v>
      </c>
      <c r="D1423" s="8" t="str">
        <f>"20200304425"</f>
        <v>20200304425</v>
      </c>
      <c r="E1423" s="9">
        <v>38.6</v>
      </c>
      <c r="F1423" s="9">
        <v>67</v>
      </c>
      <c r="G1423" s="9">
        <f t="shared" si="22"/>
        <v>105.6</v>
      </c>
      <c r="H1423" s="8"/>
    </row>
    <row r="1424" spans="1:8" ht="22.5" customHeight="1">
      <c r="A1424" s="8" t="s">
        <v>86</v>
      </c>
      <c r="B1424" s="8" t="str">
        <f>"朱帅"</f>
        <v>朱帅</v>
      </c>
      <c r="C1424" s="8" t="str">
        <f>"341126199504081211"</f>
        <v>341126199504081211</v>
      </c>
      <c r="D1424" s="8" t="str">
        <f>"20200304626"</f>
        <v>20200304626</v>
      </c>
      <c r="E1424" s="9">
        <v>37.4</v>
      </c>
      <c r="F1424" s="9">
        <v>68</v>
      </c>
      <c r="G1424" s="9">
        <f t="shared" si="22"/>
        <v>105.4</v>
      </c>
      <c r="H1424" s="8"/>
    </row>
    <row r="1425" spans="1:8" ht="22.5" customHeight="1">
      <c r="A1425" s="8" t="s">
        <v>86</v>
      </c>
      <c r="B1425" s="8" t="str">
        <f>"王娟"</f>
        <v>王娟</v>
      </c>
      <c r="C1425" s="8" t="str">
        <f>"341182199101080645"</f>
        <v>341182199101080645</v>
      </c>
      <c r="D1425" s="8" t="str">
        <f>"20200304708"</f>
        <v>20200304708</v>
      </c>
      <c r="E1425" s="9">
        <v>38.7</v>
      </c>
      <c r="F1425" s="9">
        <v>66</v>
      </c>
      <c r="G1425" s="9">
        <f t="shared" si="22"/>
        <v>104.7</v>
      </c>
      <c r="H1425" s="8"/>
    </row>
    <row r="1426" spans="1:8" ht="22.5" customHeight="1">
      <c r="A1426" s="8" t="s">
        <v>86</v>
      </c>
      <c r="B1426" s="8" t="str">
        <f>"王强"</f>
        <v>王强</v>
      </c>
      <c r="C1426" s="8" t="str">
        <f>"341126199601180051"</f>
        <v>341126199601180051</v>
      </c>
      <c r="D1426" s="8" t="str">
        <f>"20200304518"</f>
        <v>20200304518</v>
      </c>
      <c r="E1426" s="9">
        <v>38.3</v>
      </c>
      <c r="F1426" s="9">
        <v>66</v>
      </c>
      <c r="G1426" s="9">
        <f t="shared" si="22"/>
        <v>104.3</v>
      </c>
      <c r="H1426" s="8"/>
    </row>
    <row r="1427" spans="1:8" ht="22.5" customHeight="1">
      <c r="A1427" s="8" t="s">
        <v>86</v>
      </c>
      <c r="B1427" s="8" t="str">
        <f>"崔毓琪"</f>
        <v>崔毓琪</v>
      </c>
      <c r="C1427" s="8" t="str">
        <f>"341182199807070027"</f>
        <v>341182199807070027</v>
      </c>
      <c r="D1427" s="8" t="str">
        <f>"20200304619"</f>
        <v>20200304619</v>
      </c>
      <c r="E1427" s="9">
        <v>36.8</v>
      </c>
      <c r="F1427" s="9">
        <v>67.5</v>
      </c>
      <c r="G1427" s="9">
        <f t="shared" si="22"/>
        <v>104.3</v>
      </c>
      <c r="H1427" s="8"/>
    </row>
    <row r="1428" spans="1:8" ht="22.5" customHeight="1">
      <c r="A1428" s="8" t="s">
        <v>86</v>
      </c>
      <c r="B1428" s="8" t="str">
        <f>"凌啟发"</f>
        <v>凌啟发</v>
      </c>
      <c r="C1428" s="8" t="str">
        <f>"341126199703230611"</f>
        <v>341126199703230611</v>
      </c>
      <c r="D1428" s="8" t="str">
        <f>"20200304601"</f>
        <v>20200304601</v>
      </c>
      <c r="E1428" s="9">
        <v>41</v>
      </c>
      <c r="F1428" s="9">
        <v>62.5</v>
      </c>
      <c r="G1428" s="9">
        <f t="shared" si="22"/>
        <v>103.5</v>
      </c>
      <c r="H1428" s="8"/>
    </row>
    <row r="1429" spans="1:8" ht="22.5" customHeight="1">
      <c r="A1429" s="8" t="s">
        <v>86</v>
      </c>
      <c r="B1429" s="8" t="str">
        <f>"邱义明"</f>
        <v>邱义明</v>
      </c>
      <c r="C1429" s="8" t="str">
        <f>"341182199104273610"</f>
        <v>341182199104273610</v>
      </c>
      <c r="D1429" s="8" t="str">
        <f>"20200304828"</f>
        <v>20200304828</v>
      </c>
      <c r="E1429" s="9">
        <v>43.5</v>
      </c>
      <c r="F1429" s="9">
        <v>59.5</v>
      </c>
      <c r="G1429" s="9">
        <f t="shared" si="22"/>
        <v>103</v>
      </c>
      <c r="H1429" s="8"/>
    </row>
    <row r="1430" spans="1:8" ht="22.5" customHeight="1">
      <c r="A1430" s="8" t="s">
        <v>86</v>
      </c>
      <c r="B1430" s="8" t="str">
        <f>"宋伟"</f>
        <v>宋伟</v>
      </c>
      <c r="C1430" s="8" t="str">
        <f>"341182199004106276"</f>
        <v>341182199004106276</v>
      </c>
      <c r="D1430" s="8" t="str">
        <f>"20200304919"</f>
        <v>20200304919</v>
      </c>
      <c r="E1430" s="9">
        <v>37.4</v>
      </c>
      <c r="F1430" s="9">
        <v>65.5</v>
      </c>
      <c r="G1430" s="9">
        <f t="shared" si="22"/>
        <v>102.9</v>
      </c>
      <c r="H1430" s="8"/>
    </row>
    <row r="1431" spans="1:8" ht="22.5" customHeight="1">
      <c r="A1431" s="8" t="s">
        <v>86</v>
      </c>
      <c r="B1431" s="8" t="str">
        <f>"刘雨"</f>
        <v>刘雨</v>
      </c>
      <c r="C1431" s="8" t="str">
        <f>"341127199511102427"</f>
        <v>341127199511102427</v>
      </c>
      <c r="D1431" s="8" t="str">
        <f>"20200305003"</f>
        <v>20200305003</v>
      </c>
      <c r="E1431" s="9">
        <v>39.3</v>
      </c>
      <c r="F1431" s="9">
        <v>63.5</v>
      </c>
      <c r="G1431" s="9">
        <f t="shared" si="22"/>
        <v>102.8</v>
      </c>
      <c r="H1431" s="8"/>
    </row>
    <row r="1432" spans="1:8" ht="22.5" customHeight="1">
      <c r="A1432" s="8" t="s">
        <v>86</v>
      </c>
      <c r="B1432" s="8" t="str">
        <f>"邹鑫"</f>
        <v>邹鑫</v>
      </c>
      <c r="C1432" s="8" t="str">
        <f>"341222199311015584"</f>
        <v>341222199311015584</v>
      </c>
      <c r="D1432" s="8" t="str">
        <f>"20200304630"</f>
        <v>20200304630</v>
      </c>
      <c r="E1432" s="9">
        <v>38.4</v>
      </c>
      <c r="F1432" s="9">
        <v>64</v>
      </c>
      <c r="G1432" s="9">
        <f t="shared" si="22"/>
        <v>102.4</v>
      </c>
      <c r="H1432" s="8"/>
    </row>
    <row r="1433" spans="1:8" ht="22.5" customHeight="1">
      <c r="A1433" s="8" t="s">
        <v>86</v>
      </c>
      <c r="B1433" s="8" t="str">
        <f>"王园园"</f>
        <v>王园园</v>
      </c>
      <c r="C1433" s="8" t="str">
        <f>"341103198912195024"</f>
        <v>341103198912195024</v>
      </c>
      <c r="D1433" s="8" t="str">
        <f>"20200304912"</f>
        <v>20200304912</v>
      </c>
      <c r="E1433" s="9">
        <v>37.9</v>
      </c>
      <c r="F1433" s="9">
        <v>64.5</v>
      </c>
      <c r="G1433" s="9">
        <f t="shared" si="22"/>
        <v>102.4</v>
      </c>
      <c r="H1433" s="8"/>
    </row>
    <row r="1434" spans="1:8" ht="22.5" customHeight="1">
      <c r="A1434" s="8" t="s">
        <v>86</v>
      </c>
      <c r="B1434" s="8" t="str">
        <f>"陆杨"</f>
        <v>陆杨</v>
      </c>
      <c r="C1434" s="8" t="str">
        <f>"341182199011252634"</f>
        <v>341182199011252634</v>
      </c>
      <c r="D1434" s="8" t="str">
        <f>"20200304528"</f>
        <v>20200304528</v>
      </c>
      <c r="E1434" s="9">
        <v>36.5</v>
      </c>
      <c r="F1434" s="9">
        <v>65.5</v>
      </c>
      <c r="G1434" s="9">
        <f t="shared" si="22"/>
        <v>102</v>
      </c>
      <c r="H1434" s="8"/>
    </row>
    <row r="1435" spans="1:8" ht="22.5" customHeight="1">
      <c r="A1435" s="8" t="s">
        <v>86</v>
      </c>
      <c r="B1435" s="8" t="str">
        <f>"朱艳"</f>
        <v>朱艳</v>
      </c>
      <c r="C1435" s="8" t="str">
        <f>"34118219950718062X"</f>
        <v>34118219950718062X</v>
      </c>
      <c r="D1435" s="8" t="str">
        <f>"20200304510"</f>
        <v>20200304510</v>
      </c>
      <c r="E1435" s="9">
        <v>33.8</v>
      </c>
      <c r="F1435" s="9">
        <v>68</v>
      </c>
      <c r="G1435" s="9">
        <f t="shared" si="22"/>
        <v>101.8</v>
      </c>
      <c r="H1435" s="8"/>
    </row>
    <row r="1436" spans="1:8" ht="22.5" customHeight="1">
      <c r="A1436" s="8" t="s">
        <v>86</v>
      </c>
      <c r="B1436" s="8" t="str">
        <f>"曹晓炜"</f>
        <v>曹晓炜</v>
      </c>
      <c r="C1436" s="8" t="str">
        <f>"341182199402200022"</f>
        <v>341182199402200022</v>
      </c>
      <c r="D1436" s="8" t="str">
        <f>"20200304614"</f>
        <v>20200304614</v>
      </c>
      <c r="E1436" s="9">
        <v>35.7</v>
      </c>
      <c r="F1436" s="9">
        <v>66</v>
      </c>
      <c r="G1436" s="9">
        <f t="shared" si="22"/>
        <v>101.7</v>
      </c>
      <c r="H1436" s="8"/>
    </row>
    <row r="1437" spans="1:8" ht="22.5" customHeight="1">
      <c r="A1437" s="8" t="s">
        <v>86</v>
      </c>
      <c r="B1437" s="8" t="str">
        <f>"张春成"</f>
        <v>张春成</v>
      </c>
      <c r="C1437" s="8" t="str">
        <f>"341182199702230012"</f>
        <v>341182199702230012</v>
      </c>
      <c r="D1437" s="8" t="str">
        <f>"20200304623"</f>
        <v>20200304623</v>
      </c>
      <c r="E1437" s="9">
        <v>43.2</v>
      </c>
      <c r="F1437" s="9">
        <v>58.5</v>
      </c>
      <c r="G1437" s="9">
        <f t="shared" si="22"/>
        <v>101.7</v>
      </c>
      <c r="H1437" s="8"/>
    </row>
    <row r="1438" spans="1:8" ht="22.5" customHeight="1">
      <c r="A1438" s="8" t="s">
        <v>86</v>
      </c>
      <c r="B1438" s="8" t="str">
        <f>"徐姣姣"</f>
        <v>徐姣姣</v>
      </c>
      <c r="C1438" s="8" t="str">
        <f>"341182199312103624"</f>
        <v>341182199312103624</v>
      </c>
      <c r="D1438" s="8" t="str">
        <f>"20200304815"</f>
        <v>20200304815</v>
      </c>
      <c r="E1438" s="9">
        <v>38.7</v>
      </c>
      <c r="F1438" s="9">
        <v>63</v>
      </c>
      <c r="G1438" s="9">
        <f t="shared" si="22"/>
        <v>101.7</v>
      </c>
      <c r="H1438" s="8"/>
    </row>
    <row r="1439" spans="1:8" ht="22.5" customHeight="1">
      <c r="A1439" s="8" t="s">
        <v>86</v>
      </c>
      <c r="B1439" s="8" t="str">
        <f>"齐诗瑜"</f>
        <v>齐诗瑜</v>
      </c>
      <c r="C1439" s="8" t="str">
        <f>"341182199106110428"</f>
        <v>341182199106110428</v>
      </c>
      <c r="D1439" s="8" t="str">
        <f>"20200305010"</f>
        <v>20200305010</v>
      </c>
      <c r="E1439" s="9">
        <v>35.2</v>
      </c>
      <c r="F1439" s="9">
        <v>66.5</v>
      </c>
      <c r="G1439" s="9">
        <f t="shared" si="22"/>
        <v>101.7</v>
      </c>
      <c r="H1439" s="8"/>
    </row>
    <row r="1440" spans="1:8" ht="22.5" customHeight="1">
      <c r="A1440" s="8" t="s">
        <v>86</v>
      </c>
      <c r="B1440" s="8" t="str">
        <f>"贺晶晶"</f>
        <v>贺晶晶</v>
      </c>
      <c r="C1440" s="8" t="str">
        <f>"341182199404064220"</f>
        <v>341182199404064220</v>
      </c>
      <c r="D1440" s="8" t="str">
        <f>"20200304602"</f>
        <v>20200304602</v>
      </c>
      <c r="E1440" s="9">
        <v>31.5</v>
      </c>
      <c r="F1440" s="9">
        <v>70</v>
      </c>
      <c r="G1440" s="9">
        <f t="shared" si="22"/>
        <v>101.5</v>
      </c>
      <c r="H1440" s="8"/>
    </row>
    <row r="1441" spans="1:8" ht="22.5" customHeight="1">
      <c r="A1441" s="8" t="s">
        <v>86</v>
      </c>
      <c r="B1441" s="8" t="str">
        <f>"钱进"</f>
        <v>钱进</v>
      </c>
      <c r="C1441" s="8" t="str">
        <f>"341182199604061614"</f>
        <v>341182199604061614</v>
      </c>
      <c r="D1441" s="8" t="str">
        <f>"20200304603"</f>
        <v>20200304603</v>
      </c>
      <c r="E1441" s="9">
        <v>52.2</v>
      </c>
      <c r="F1441" s="9">
        <v>48.5</v>
      </c>
      <c r="G1441" s="9">
        <f t="shared" si="22"/>
        <v>100.7</v>
      </c>
      <c r="H1441" s="8"/>
    </row>
    <row r="1442" spans="1:8" ht="22.5" customHeight="1">
      <c r="A1442" s="8" t="s">
        <v>86</v>
      </c>
      <c r="B1442" s="8" t="str">
        <f>"彭尚茹"</f>
        <v>彭尚茹</v>
      </c>
      <c r="C1442" s="8" t="str">
        <f>"34118219951118122X"</f>
        <v>34118219951118122X</v>
      </c>
      <c r="D1442" s="8" t="str">
        <f>"20200304824"</f>
        <v>20200304824</v>
      </c>
      <c r="E1442" s="9">
        <v>30.8</v>
      </c>
      <c r="F1442" s="9">
        <v>69.5</v>
      </c>
      <c r="G1442" s="9">
        <f t="shared" si="22"/>
        <v>100.3</v>
      </c>
      <c r="H1442" s="8"/>
    </row>
    <row r="1443" spans="1:8" ht="22.5" customHeight="1">
      <c r="A1443" s="8" t="s">
        <v>86</v>
      </c>
      <c r="B1443" s="8" t="str">
        <f>"崔雯雯"</f>
        <v>崔雯雯</v>
      </c>
      <c r="C1443" s="8" t="str">
        <f>"341182199703070022"</f>
        <v>341182199703070022</v>
      </c>
      <c r="D1443" s="8" t="str">
        <f>"20200305005"</f>
        <v>20200305005</v>
      </c>
      <c r="E1443" s="9">
        <v>38.3</v>
      </c>
      <c r="F1443" s="9">
        <v>62</v>
      </c>
      <c r="G1443" s="9">
        <f t="shared" si="22"/>
        <v>100.3</v>
      </c>
      <c r="H1443" s="8"/>
    </row>
    <row r="1444" spans="1:8" ht="22.5" customHeight="1">
      <c r="A1444" s="8" t="s">
        <v>86</v>
      </c>
      <c r="B1444" s="8" t="str">
        <f>"曹焱"</f>
        <v>曹焱</v>
      </c>
      <c r="C1444" s="8" t="str">
        <f>"341182199510102681"</f>
        <v>341182199510102681</v>
      </c>
      <c r="D1444" s="8" t="str">
        <f>"20200304827"</f>
        <v>20200304827</v>
      </c>
      <c r="E1444" s="9">
        <v>31.7</v>
      </c>
      <c r="F1444" s="9">
        <v>68.5</v>
      </c>
      <c r="G1444" s="9">
        <f t="shared" si="22"/>
        <v>100.2</v>
      </c>
      <c r="H1444" s="8"/>
    </row>
    <row r="1445" spans="1:8" ht="22.5" customHeight="1">
      <c r="A1445" s="8" t="s">
        <v>86</v>
      </c>
      <c r="B1445" s="8" t="str">
        <f>"曹杰"</f>
        <v>曹杰</v>
      </c>
      <c r="C1445" s="8" t="str">
        <f>"341182199510230624"</f>
        <v>341182199510230624</v>
      </c>
      <c r="D1445" s="8" t="str">
        <f>"20200305006"</f>
        <v>20200305006</v>
      </c>
      <c r="E1445" s="9">
        <v>34.3</v>
      </c>
      <c r="F1445" s="9">
        <v>65.5</v>
      </c>
      <c r="G1445" s="9">
        <f t="shared" si="22"/>
        <v>99.8</v>
      </c>
      <c r="H1445" s="8"/>
    </row>
    <row r="1446" spans="1:8" ht="22.5" customHeight="1">
      <c r="A1446" s="8" t="s">
        <v>86</v>
      </c>
      <c r="B1446" s="8" t="str">
        <f>"杨守智"</f>
        <v>杨守智</v>
      </c>
      <c r="C1446" s="8" t="str">
        <f>"341182199508235012"</f>
        <v>341182199508235012</v>
      </c>
      <c r="D1446" s="8" t="str">
        <f>"20200304624"</f>
        <v>20200304624</v>
      </c>
      <c r="E1446" s="9">
        <v>52.1</v>
      </c>
      <c r="F1446" s="9">
        <v>47.5</v>
      </c>
      <c r="G1446" s="9">
        <f t="shared" si="22"/>
        <v>99.6</v>
      </c>
      <c r="H1446" s="8"/>
    </row>
    <row r="1447" spans="1:8" ht="22.5" customHeight="1">
      <c r="A1447" s="8" t="s">
        <v>86</v>
      </c>
      <c r="B1447" s="8" t="str">
        <f>"单文新"</f>
        <v>单文新</v>
      </c>
      <c r="C1447" s="8" t="str">
        <f>"34118219960206263X"</f>
        <v>34118219960206263X</v>
      </c>
      <c r="D1447" s="8" t="str">
        <f>"20200304927"</f>
        <v>20200304927</v>
      </c>
      <c r="E1447" s="9">
        <v>41</v>
      </c>
      <c r="F1447" s="9">
        <v>58</v>
      </c>
      <c r="G1447" s="9">
        <f t="shared" si="22"/>
        <v>99</v>
      </c>
      <c r="H1447" s="8"/>
    </row>
    <row r="1448" spans="1:8" ht="22.5" customHeight="1">
      <c r="A1448" s="8" t="s">
        <v>86</v>
      </c>
      <c r="B1448" s="8" t="str">
        <f>"南巧芳"</f>
        <v>南巧芳</v>
      </c>
      <c r="C1448" s="8" t="str">
        <f>"341182199506043025"</f>
        <v>341182199506043025</v>
      </c>
      <c r="D1448" s="8" t="str">
        <f>"20200304430"</f>
        <v>20200304430</v>
      </c>
      <c r="E1448" s="9">
        <v>29.1</v>
      </c>
      <c r="F1448" s="9">
        <v>69</v>
      </c>
      <c r="G1448" s="9">
        <f t="shared" si="22"/>
        <v>98.1</v>
      </c>
      <c r="H1448" s="8"/>
    </row>
    <row r="1449" spans="1:8" ht="22.5" customHeight="1">
      <c r="A1449" s="8" t="s">
        <v>86</v>
      </c>
      <c r="B1449" s="8" t="str">
        <f>"武威"</f>
        <v>武威</v>
      </c>
      <c r="C1449" s="8" t="str">
        <f>"341182199509230619"</f>
        <v>341182199509230619</v>
      </c>
      <c r="D1449" s="8" t="str">
        <f>"20200304820"</f>
        <v>20200304820</v>
      </c>
      <c r="E1449" s="9">
        <v>31</v>
      </c>
      <c r="F1449" s="9">
        <v>67</v>
      </c>
      <c r="G1449" s="9">
        <f t="shared" si="22"/>
        <v>98</v>
      </c>
      <c r="H1449" s="8"/>
    </row>
    <row r="1450" spans="1:8" ht="22.5" customHeight="1">
      <c r="A1450" s="8" t="s">
        <v>86</v>
      </c>
      <c r="B1450" s="8" t="str">
        <f>"王琼"</f>
        <v>王琼</v>
      </c>
      <c r="C1450" s="8" t="str">
        <f>"34118219930113162X"</f>
        <v>34118219930113162X</v>
      </c>
      <c r="D1450" s="8" t="str">
        <f>"20200304914"</f>
        <v>20200304914</v>
      </c>
      <c r="E1450" s="9">
        <v>29.7</v>
      </c>
      <c r="F1450" s="9">
        <v>67.5</v>
      </c>
      <c r="G1450" s="9">
        <f t="shared" si="22"/>
        <v>97.2</v>
      </c>
      <c r="H1450" s="8"/>
    </row>
    <row r="1451" spans="1:8" ht="22.5" customHeight="1">
      <c r="A1451" s="8" t="s">
        <v>86</v>
      </c>
      <c r="B1451" s="8" t="str">
        <f>"陆双"</f>
        <v>陆双</v>
      </c>
      <c r="C1451" s="8" t="str">
        <f>"34118219930505262X"</f>
        <v>34118219930505262X</v>
      </c>
      <c r="D1451" s="8" t="str">
        <f>"20200304415"</f>
        <v>20200304415</v>
      </c>
      <c r="E1451" s="9">
        <v>35</v>
      </c>
      <c r="F1451" s="9">
        <v>61.5</v>
      </c>
      <c r="G1451" s="9">
        <f t="shared" si="22"/>
        <v>96.5</v>
      </c>
      <c r="H1451" s="8"/>
    </row>
    <row r="1452" spans="1:8" ht="22.5" customHeight="1">
      <c r="A1452" s="8" t="s">
        <v>86</v>
      </c>
      <c r="B1452" s="8" t="str">
        <f>"李光耀"</f>
        <v>李光耀</v>
      </c>
      <c r="C1452" s="8" t="str">
        <f>"341102199203316418"</f>
        <v>341102199203316418</v>
      </c>
      <c r="D1452" s="8" t="str">
        <f>"20200304926"</f>
        <v>20200304926</v>
      </c>
      <c r="E1452" s="9">
        <v>49</v>
      </c>
      <c r="F1452" s="9">
        <v>45.5</v>
      </c>
      <c r="G1452" s="9">
        <f t="shared" si="22"/>
        <v>94.5</v>
      </c>
      <c r="H1452" s="8"/>
    </row>
    <row r="1453" spans="1:8" ht="22.5" customHeight="1">
      <c r="A1453" s="8" t="s">
        <v>86</v>
      </c>
      <c r="B1453" s="8" t="str">
        <f>"孙紫悦"</f>
        <v>孙紫悦</v>
      </c>
      <c r="C1453" s="8" t="str">
        <f>"341182199612064823"</f>
        <v>341182199612064823</v>
      </c>
      <c r="D1453" s="8" t="str">
        <f>"20200304819"</f>
        <v>20200304819</v>
      </c>
      <c r="E1453" s="9">
        <v>25.7</v>
      </c>
      <c r="F1453" s="9">
        <v>68.5</v>
      </c>
      <c r="G1453" s="9">
        <f t="shared" si="22"/>
        <v>94.2</v>
      </c>
      <c r="H1453" s="8"/>
    </row>
    <row r="1454" spans="1:8" ht="22.5" customHeight="1">
      <c r="A1454" s="8" t="s">
        <v>86</v>
      </c>
      <c r="B1454" s="8" t="str">
        <f>"张庆阳"</f>
        <v>张庆阳</v>
      </c>
      <c r="C1454" s="8" t="str">
        <f>"341182199508132427"</f>
        <v>341182199508132427</v>
      </c>
      <c r="D1454" s="8" t="str">
        <f>"20200304507"</f>
        <v>20200304507</v>
      </c>
      <c r="E1454" s="9">
        <v>36.9</v>
      </c>
      <c r="F1454" s="9">
        <v>57</v>
      </c>
      <c r="G1454" s="9">
        <f t="shared" si="22"/>
        <v>93.9</v>
      </c>
      <c r="H1454" s="8"/>
    </row>
    <row r="1455" spans="1:8" ht="22.5" customHeight="1">
      <c r="A1455" s="8" t="s">
        <v>86</v>
      </c>
      <c r="B1455" s="8" t="str">
        <f>"陈东"</f>
        <v>陈东</v>
      </c>
      <c r="C1455" s="8" t="str">
        <f>"341182199507140214"</f>
        <v>341182199507140214</v>
      </c>
      <c r="D1455" s="8" t="str">
        <f>"20200304812"</f>
        <v>20200304812</v>
      </c>
      <c r="E1455" s="9">
        <v>29.6</v>
      </c>
      <c r="F1455" s="9">
        <v>64</v>
      </c>
      <c r="G1455" s="9">
        <f t="shared" si="22"/>
        <v>93.6</v>
      </c>
      <c r="H1455" s="8"/>
    </row>
    <row r="1456" spans="1:8" ht="22.5" customHeight="1">
      <c r="A1456" s="8" t="s">
        <v>86</v>
      </c>
      <c r="B1456" s="8" t="str">
        <f>"杭学微"</f>
        <v>杭学微</v>
      </c>
      <c r="C1456" s="8" t="str">
        <f>"341182199511265829"</f>
        <v>341182199511265829</v>
      </c>
      <c r="D1456" s="8" t="str">
        <f>"20200304511"</f>
        <v>20200304511</v>
      </c>
      <c r="E1456" s="9">
        <v>37.8</v>
      </c>
      <c r="F1456" s="9">
        <v>55.5</v>
      </c>
      <c r="G1456" s="9">
        <f t="shared" si="22"/>
        <v>93.3</v>
      </c>
      <c r="H1456" s="8"/>
    </row>
    <row r="1457" spans="1:8" ht="22.5" customHeight="1">
      <c r="A1457" s="8" t="s">
        <v>86</v>
      </c>
      <c r="B1457" s="8" t="str">
        <f>"尤美"</f>
        <v>尤美</v>
      </c>
      <c r="C1457" s="8" t="str">
        <f>"341182199910023827"</f>
        <v>341182199910023827</v>
      </c>
      <c r="D1457" s="8" t="str">
        <f>"20200304921"</f>
        <v>20200304921</v>
      </c>
      <c r="E1457" s="9">
        <v>38.9</v>
      </c>
      <c r="F1457" s="9">
        <v>49.5</v>
      </c>
      <c r="G1457" s="9">
        <f t="shared" si="22"/>
        <v>88.4</v>
      </c>
      <c r="H1457" s="8"/>
    </row>
    <row r="1458" spans="1:8" ht="22.5" customHeight="1">
      <c r="A1458" s="8" t="s">
        <v>86</v>
      </c>
      <c r="B1458" s="8" t="str">
        <f>"柏圆圆"</f>
        <v>柏圆圆</v>
      </c>
      <c r="C1458" s="8" t="str">
        <f>"341182199010050619"</f>
        <v>341182199010050619</v>
      </c>
      <c r="D1458" s="8" t="str">
        <f>"20200304519"</f>
        <v>20200304519</v>
      </c>
      <c r="E1458" s="9">
        <v>38.9</v>
      </c>
      <c r="F1458" s="9">
        <v>45</v>
      </c>
      <c r="G1458" s="9">
        <f t="shared" si="22"/>
        <v>83.9</v>
      </c>
      <c r="H1458" s="8"/>
    </row>
    <row r="1459" spans="1:8" ht="22.5" customHeight="1">
      <c r="A1459" s="8" t="s">
        <v>86</v>
      </c>
      <c r="B1459" s="8" t="str">
        <f>"于海"</f>
        <v>于海</v>
      </c>
      <c r="C1459" s="8" t="str">
        <f>"341182199701290013"</f>
        <v>341182199701290013</v>
      </c>
      <c r="D1459" s="8" t="str">
        <f>"20200304502"</f>
        <v>20200304502</v>
      </c>
      <c r="E1459" s="9">
        <v>36.2</v>
      </c>
      <c r="F1459" s="9">
        <v>46.5</v>
      </c>
      <c r="G1459" s="9">
        <f t="shared" si="22"/>
        <v>82.7</v>
      </c>
      <c r="H1459" s="8"/>
    </row>
    <row r="1460" spans="1:8" ht="22.5" customHeight="1">
      <c r="A1460" s="8" t="s">
        <v>86</v>
      </c>
      <c r="B1460" s="8" t="str">
        <f>"陈涛"</f>
        <v>陈涛</v>
      </c>
      <c r="C1460" s="8" t="str">
        <f>"320305198908051238"</f>
        <v>320305198908051238</v>
      </c>
      <c r="D1460" s="8" t="str">
        <f>"20200304527"</f>
        <v>20200304527</v>
      </c>
      <c r="E1460" s="9">
        <v>32.3</v>
      </c>
      <c r="F1460" s="9">
        <v>49</v>
      </c>
      <c r="G1460" s="9">
        <f t="shared" si="22"/>
        <v>81.3</v>
      </c>
      <c r="H1460" s="8"/>
    </row>
    <row r="1461" spans="1:8" ht="22.5" customHeight="1">
      <c r="A1461" s="8" t="s">
        <v>86</v>
      </c>
      <c r="B1461" s="8" t="str">
        <f>"张晓杰"</f>
        <v>张晓杰</v>
      </c>
      <c r="C1461" s="8" t="str">
        <f>"34118219940501062X"</f>
        <v>34118219940501062X</v>
      </c>
      <c r="D1461" s="8" t="str">
        <f>"20200304918"</f>
        <v>20200304918</v>
      </c>
      <c r="E1461" s="9">
        <v>49.1</v>
      </c>
      <c r="F1461" s="9">
        <v>32</v>
      </c>
      <c r="G1461" s="9">
        <f t="shared" si="22"/>
        <v>81.1</v>
      </c>
      <c r="H1461" s="8"/>
    </row>
    <row r="1462" spans="1:8" ht="22.5" customHeight="1">
      <c r="A1462" s="8" t="s">
        <v>86</v>
      </c>
      <c r="B1462" s="8" t="str">
        <f>"高明"</f>
        <v>高明</v>
      </c>
      <c r="C1462" s="8" t="str">
        <f>"341182199603080418"</f>
        <v>341182199603080418</v>
      </c>
      <c r="D1462" s="8" t="str">
        <f>"20200304917"</f>
        <v>20200304917</v>
      </c>
      <c r="E1462" s="9">
        <v>39.5</v>
      </c>
      <c r="F1462" s="9">
        <v>41.5</v>
      </c>
      <c r="G1462" s="9">
        <f t="shared" si="22"/>
        <v>81</v>
      </c>
      <c r="H1462" s="8"/>
    </row>
    <row r="1463" spans="1:8" ht="22.5" customHeight="1">
      <c r="A1463" s="8" t="s">
        <v>86</v>
      </c>
      <c r="B1463" s="8" t="str">
        <f>"李媛媛"</f>
        <v>李媛媛</v>
      </c>
      <c r="C1463" s="8" t="str">
        <f>"341182199503100223"</f>
        <v>341182199503100223</v>
      </c>
      <c r="D1463" s="8" t="str">
        <f>"20200304526"</f>
        <v>20200304526</v>
      </c>
      <c r="E1463" s="9">
        <v>32.2</v>
      </c>
      <c r="F1463" s="9">
        <v>48</v>
      </c>
      <c r="G1463" s="9">
        <f t="shared" si="22"/>
        <v>80.2</v>
      </c>
      <c r="H1463" s="8"/>
    </row>
    <row r="1464" spans="1:8" ht="22.5" customHeight="1">
      <c r="A1464" s="8" t="s">
        <v>86</v>
      </c>
      <c r="B1464" s="8" t="str">
        <f>"王凤玲"</f>
        <v>王凤玲</v>
      </c>
      <c r="C1464" s="8" t="str">
        <f>"341127199408272444"</f>
        <v>341127199408272444</v>
      </c>
      <c r="D1464" s="8" t="str">
        <f>"20200304501"</f>
        <v>20200304501</v>
      </c>
      <c r="E1464" s="9">
        <v>39.1</v>
      </c>
      <c r="F1464" s="9">
        <v>36</v>
      </c>
      <c r="G1464" s="9">
        <f t="shared" si="22"/>
        <v>75.1</v>
      </c>
      <c r="H1464" s="8"/>
    </row>
    <row r="1465" spans="1:8" ht="22.5" customHeight="1">
      <c r="A1465" s="8" t="s">
        <v>86</v>
      </c>
      <c r="B1465" s="8" t="str">
        <f>"陈娇"</f>
        <v>陈娇</v>
      </c>
      <c r="C1465" s="8" t="str">
        <f>"341127199102234242"</f>
        <v>341127199102234242</v>
      </c>
      <c r="D1465" s="8" t="str">
        <f>"20200304923"</f>
        <v>20200304923</v>
      </c>
      <c r="E1465" s="9">
        <v>31.2</v>
      </c>
      <c r="F1465" s="9">
        <v>39.5</v>
      </c>
      <c r="G1465" s="9">
        <f t="shared" si="22"/>
        <v>70.7</v>
      </c>
      <c r="H1465" s="8"/>
    </row>
    <row r="1466" spans="1:8" ht="22.5" customHeight="1">
      <c r="A1466" s="8" t="s">
        <v>86</v>
      </c>
      <c r="B1466" s="8" t="str">
        <f>"陈娟"</f>
        <v>陈娟</v>
      </c>
      <c r="C1466" s="8" t="str">
        <f>"341182199012066227"</f>
        <v>341182199012066227</v>
      </c>
      <c r="D1466" s="8" t="str">
        <f>"20200304910"</f>
        <v>20200304910</v>
      </c>
      <c r="E1466" s="9">
        <v>0</v>
      </c>
      <c r="F1466" s="9">
        <v>66.5</v>
      </c>
      <c r="G1466" s="9">
        <f t="shared" si="22"/>
        <v>66.5</v>
      </c>
      <c r="H1466" s="8"/>
    </row>
    <row r="1467" spans="1:8" ht="22.5" customHeight="1">
      <c r="A1467" s="8" t="s">
        <v>86</v>
      </c>
      <c r="B1467" s="8" t="str">
        <f>"徐或涵"</f>
        <v>徐或涵</v>
      </c>
      <c r="C1467" s="8" t="str">
        <f>"341182199512270419"</f>
        <v>341182199512270419</v>
      </c>
      <c r="D1467" s="8" t="str">
        <f>"20200304723"</f>
        <v>20200304723</v>
      </c>
      <c r="E1467" s="9">
        <v>52.7</v>
      </c>
      <c r="F1467" s="9">
        <v>13.5</v>
      </c>
      <c r="G1467" s="9">
        <f t="shared" si="22"/>
        <v>66.2</v>
      </c>
      <c r="H1467" s="8"/>
    </row>
    <row r="1468" spans="1:8" ht="22.5" customHeight="1">
      <c r="A1468" s="8" t="s">
        <v>86</v>
      </c>
      <c r="B1468" s="8" t="str">
        <f>"马方振"</f>
        <v>马方振</v>
      </c>
      <c r="C1468" s="8" t="str">
        <f>"341182199408020014"</f>
        <v>341182199408020014</v>
      </c>
      <c r="D1468" s="8" t="str">
        <f>"20200304730"</f>
        <v>20200304730</v>
      </c>
      <c r="E1468" s="9">
        <v>25</v>
      </c>
      <c r="F1468" s="9">
        <v>34</v>
      </c>
      <c r="G1468" s="9">
        <f t="shared" si="22"/>
        <v>59</v>
      </c>
      <c r="H1468" s="8"/>
    </row>
    <row r="1469" spans="1:8" ht="22.5" customHeight="1">
      <c r="A1469" s="8" t="s">
        <v>86</v>
      </c>
      <c r="B1469" s="8" t="str">
        <f>"邢芸"</f>
        <v>邢芸</v>
      </c>
      <c r="C1469" s="8" t="str">
        <f>"341182199508044224"</f>
        <v>341182199508044224</v>
      </c>
      <c r="D1469" s="8" t="str">
        <f>"20200305001"</f>
        <v>20200305001</v>
      </c>
      <c r="E1469" s="9">
        <v>0.8</v>
      </c>
      <c r="F1469" s="9">
        <v>0</v>
      </c>
      <c r="G1469" s="9">
        <f t="shared" si="22"/>
        <v>0.8</v>
      </c>
      <c r="H1469" s="12" t="s">
        <v>28</v>
      </c>
    </row>
    <row r="1470" spans="1:8" ht="22.5" customHeight="1">
      <c r="A1470" s="8" t="s">
        <v>86</v>
      </c>
      <c r="B1470" s="8" t="str">
        <f>"陈明星"</f>
        <v>陈明星</v>
      </c>
      <c r="C1470" s="8" t="str">
        <f>"341182199710105641"</f>
        <v>341182199710105641</v>
      </c>
      <c r="D1470" s="8" t="str">
        <f>"20200304407"</f>
        <v>20200304407</v>
      </c>
      <c r="E1470" s="9">
        <v>0</v>
      </c>
      <c r="F1470" s="9">
        <v>0</v>
      </c>
      <c r="G1470" s="9">
        <f t="shared" si="22"/>
        <v>0</v>
      </c>
      <c r="H1470" s="8" t="s">
        <v>10</v>
      </c>
    </row>
    <row r="1471" spans="1:8" ht="22.5" customHeight="1">
      <c r="A1471" s="8" t="s">
        <v>86</v>
      </c>
      <c r="B1471" s="8" t="str">
        <f>"金冬钰"</f>
        <v>金冬钰</v>
      </c>
      <c r="C1471" s="8" t="str">
        <f>"34118219900805002X"</f>
        <v>34118219900805002X</v>
      </c>
      <c r="D1471" s="8" t="str">
        <f>"20200304416"</f>
        <v>20200304416</v>
      </c>
      <c r="E1471" s="9">
        <v>0</v>
      </c>
      <c r="F1471" s="9">
        <v>0</v>
      </c>
      <c r="G1471" s="9">
        <f t="shared" si="22"/>
        <v>0</v>
      </c>
      <c r="H1471" s="8" t="s">
        <v>10</v>
      </c>
    </row>
    <row r="1472" spans="1:8" ht="22.5" customHeight="1">
      <c r="A1472" s="8" t="s">
        <v>86</v>
      </c>
      <c r="B1472" s="8" t="str">
        <f>"朱凯"</f>
        <v>朱凯</v>
      </c>
      <c r="C1472" s="8" t="str">
        <f>"341126199507101257"</f>
        <v>341126199507101257</v>
      </c>
      <c r="D1472" s="8" t="str">
        <f>"20200304504"</f>
        <v>20200304504</v>
      </c>
      <c r="E1472" s="9">
        <v>0</v>
      </c>
      <c r="F1472" s="9">
        <v>0</v>
      </c>
      <c r="G1472" s="9">
        <f t="shared" si="22"/>
        <v>0</v>
      </c>
      <c r="H1472" s="8" t="s">
        <v>10</v>
      </c>
    </row>
    <row r="1473" spans="1:8" ht="22.5" customHeight="1">
      <c r="A1473" s="8" t="s">
        <v>86</v>
      </c>
      <c r="B1473" s="8" t="str">
        <f>"吴志勇"</f>
        <v>吴志勇</v>
      </c>
      <c r="C1473" s="8" t="str">
        <f>"341122199001300018"</f>
        <v>341122199001300018</v>
      </c>
      <c r="D1473" s="8" t="str">
        <f>"20200304525"</f>
        <v>20200304525</v>
      </c>
      <c r="E1473" s="9">
        <v>0</v>
      </c>
      <c r="F1473" s="9">
        <v>0</v>
      </c>
      <c r="G1473" s="9">
        <f t="shared" si="22"/>
        <v>0</v>
      </c>
      <c r="H1473" s="8" t="s">
        <v>10</v>
      </c>
    </row>
    <row r="1474" spans="1:8" ht="22.5" customHeight="1">
      <c r="A1474" s="8" t="s">
        <v>86</v>
      </c>
      <c r="B1474" s="8" t="str">
        <f>"崔冬霞"</f>
        <v>崔冬霞</v>
      </c>
      <c r="C1474" s="8" t="str">
        <f>"340123199412210848"</f>
        <v>340123199412210848</v>
      </c>
      <c r="D1474" s="8" t="str">
        <f>"20200304529"</f>
        <v>20200304529</v>
      </c>
      <c r="E1474" s="9">
        <v>0</v>
      </c>
      <c r="F1474" s="9">
        <v>0</v>
      </c>
      <c r="G1474" s="9">
        <f t="shared" si="22"/>
        <v>0</v>
      </c>
      <c r="H1474" s="8" t="s">
        <v>10</v>
      </c>
    </row>
    <row r="1475" spans="1:8" ht="22.5" customHeight="1">
      <c r="A1475" s="8" t="s">
        <v>86</v>
      </c>
      <c r="B1475" s="8" t="str">
        <f>"蒋蔚然"</f>
        <v>蒋蔚然</v>
      </c>
      <c r="C1475" s="8" t="str">
        <f>"341126199510190625"</f>
        <v>341126199510190625</v>
      </c>
      <c r="D1475" s="8" t="str">
        <f>"20200304703"</f>
        <v>20200304703</v>
      </c>
      <c r="E1475" s="9">
        <v>0</v>
      </c>
      <c r="F1475" s="9">
        <v>0</v>
      </c>
      <c r="G1475" s="9">
        <f aca="true" t="shared" si="23" ref="G1475:G1517">E1475+F1475</f>
        <v>0</v>
      </c>
      <c r="H1475" s="8" t="s">
        <v>10</v>
      </c>
    </row>
    <row r="1476" spans="1:8" ht="22.5" customHeight="1">
      <c r="A1476" s="8" t="s">
        <v>86</v>
      </c>
      <c r="B1476" s="8" t="str">
        <f>"李志"</f>
        <v>李志</v>
      </c>
      <c r="C1476" s="8" t="str">
        <f>"341126199507161014"</f>
        <v>341126199507161014</v>
      </c>
      <c r="D1476" s="8" t="str">
        <f>"20200304711"</f>
        <v>20200304711</v>
      </c>
      <c r="E1476" s="9">
        <v>0</v>
      </c>
      <c r="F1476" s="9">
        <v>0</v>
      </c>
      <c r="G1476" s="9">
        <f t="shared" si="23"/>
        <v>0</v>
      </c>
      <c r="H1476" s="8" t="s">
        <v>10</v>
      </c>
    </row>
    <row r="1477" spans="1:8" ht="22.5" customHeight="1">
      <c r="A1477" s="8" t="s">
        <v>86</v>
      </c>
      <c r="B1477" s="8" t="str">
        <f>"江宇航"</f>
        <v>江宇航</v>
      </c>
      <c r="C1477" s="8" t="str">
        <f>"341181199611150010"</f>
        <v>341181199611150010</v>
      </c>
      <c r="D1477" s="8" t="str">
        <f>"20200304804"</f>
        <v>20200304804</v>
      </c>
      <c r="E1477" s="9">
        <v>0</v>
      </c>
      <c r="F1477" s="9">
        <v>0</v>
      </c>
      <c r="G1477" s="9">
        <f t="shared" si="23"/>
        <v>0</v>
      </c>
      <c r="H1477" s="8" t="s">
        <v>10</v>
      </c>
    </row>
    <row r="1478" spans="1:8" ht="22.5" customHeight="1">
      <c r="A1478" s="8" t="s">
        <v>86</v>
      </c>
      <c r="B1478" s="8" t="str">
        <f>"付豪"</f>
        <v>付豪</v>
      </c>
      <c r="C1478" s="8" t="str">
        <f>"341182199707230011"</f>
        <v>341182199707230011</v>
      </c>
      <c r="D1478" s="8" t="str">
        <f>"20200304808"</f>
        <v>20200304808</v>
      </c>
      <c r="E1478" s="9">
        <v>0</v>
      </c>
      <c r="F1478" s="9">
        <v>0</v>
      </c>
      <c r="G1478" s="9">
        <f t="shared" si="23"/>
        <v>0</v>
      </c>
      <c r="H1478" s="8" t="s">
        <v>10</v>
      </c>
    </row>
    <row r="1479" spans="1:8" ht="22.5" customHeight="1">
      <c r="A1479" s="8" t="s">
        <v>86</v>
      </c>
      <c r="B1479" s="8" t="str">
        <f>"张立屏"</f>
        <v>张立屏</v>
      </c>
      <c r="C1479" s="8" t="str">
        <f>"341182199104240624"</f>
        <v>341182199104240624</v>
      </c>
      <c r="D1479" s="8" t="str">
        <f>"20200304817"</f>
        <v>20200304817</v>
      </c>
      <c r="E1479" s="9">
        <v>0</v>
      </c>
      <c r="F1479" s="9">
        <v>0</v>
      </c>
      <c r="G1479" s="9">
        <f t="shared" si="23"/>
        <v>0</v>
      </c>
      <c r="H1479" s="8" t="s">
        <v>10</v>
      </c>
    </row>
    <row r="1480" spans="1:8" ht="22.5" customHeight="1">
      <c r="A1480" s="8" t="s">
        <v>86</v>
      </c>
      <c r="B1480" s="8" t="str">
        <f>"肖敏"</f>
        <v>肖敏</v>
      </c>
      <c r="C1480" s="8" t="str">
        <f>"341182199011120244"</f>
        <v>341182199011120244</v>
      </c>
      <c r="D1480" s="8" t="str">
        <f>"20200304818"</f>
        <v>20200304818</v>
      </c>
      <c r="E1480" s="9">
        <v>0</v>
      </c>
      <c r="F1480" s="9">
        <v>0</v>
      </c>
      <c r="G1480" s="9">
        <f t="shared" si="23"/>
        <v>0</v>
      </c>
      <c r="H1480" s="8" t="s">
        <v>10</v>
      </c>
    </row>
    <row r="1481" spans="1:8" ht="22.5" customHeight="1">
      <c r="A1481" s="8" t="s">
        <v>86</v>
      </c>
      <c r="B1481" s="8" t="str">
        <f>"顾梦婷"</f>
        <v>顾梦婷</v>
      </c>
      <c r="C1481" s="8" t="str">
        <f>"341182199509240622"</f>
        <v>341182199509240622</v>
      </c>
      <c r="D1481" s="8" t="str">
        <f>"20200304901"</f>
        <v>20200304901</v>
      </c>
      <c r="E1481" s="9">
        <v>0</v>
      </c>
      <c r="F1481" s="9">
        <v>0</v>
      </c>
      <c r="G1481" s="9">
        <f t="shared" si="23"/>
        <v>0</v>
      </c>
      <c r="H1481" s="8" t="s">
        <v>10</v>
      </c>
    </row>
    <row r="1482" spans="1:8" ht="22.5" customHeight="1">
      <c r="A1482" s="8" t="s">
        <v>86</v>
      </c>
      <c r="B1482" s="8" t="str">
        <f>"刘磊"</f>
        <v>刘磊</v>
      </c>
      <c r="C1482" s="8" t="str">
        <f>"341182199610280610"</f>
        <v>341182199610280610</v>
      </c>
      <c r="D1482" s="8" t="str">
        <f>"20200304928"</f>
        <v>20200304928</v>
      </c>
      <c r="E1482" s="9">
        <v>0</v>
      </c>
      <c r="F1482" s="9">
        <v>0</v>
      </c>
      <c r="G1482" s="9">
        <f t="shared" si="23"/>
        <v>0</v>
      </c>
      <c r="H1482" s="8" t="s">
        <v>10</v>
      </c>
    </row>
    <row r="1483" spans="1:8" ht="22.5" customHeight="1">
      <c r="A1483" s="8" t="s">
        <v>86</v>
      </c>
      <c r="B1483" s="8" t="str">
        <f>"李艳婷"</f>
        <v>李艳婷</v>
      </c>
      <c r="C1483" s="8" t="str">
        <f>"341182199210070622"</f>
        <v>341182199210070622</v>
      </c>
      <c r="D1483" s="8" t="str">
        <f>"20200304929"</f>
        <v>20200304929</v>
      </c>
      <c r="E1483" s="9">
        <v>0</v>
      </c>
      <c r="F1483" s="9">
        <v>0</v>
      </c>
      <c r="G1483" s="9">
        <f t="shared" si="23"/>
        <v>0</v>
      </c>
      <c r="H1483" s="8" t="s">
        <v>10</v>
      </c>
    </row>
    <row r="1484" spans="1:8" ht="22.5" customHeight="1">
      <c r="A1484" s="8" t="s">
        <v>86</v>
      </c>
      <c r="B1484" s="8" t="str">
        <f>"张娣"</f>
        <v>张娣</v>
      </c>
      <c r="C1484" s="8" t="str">
        <f>"341182199406252444"</f>
        <v>341182199406252444</v>
      </c>
      <c r="D1484" s="8" t="str">
        <f>"20200304930"</f>
        <v>20200304930</v>
      </c>
      <c r="E1484" s="9">
        <v>0</v>
      </c>
      <c r="F1484" s="9">
        <v>0</v>
      </c>
      <c r="G1484" s="9">
        <f t="shared" si="23"/>
        <v>0</v>
      </c>
      <c r="H1484" s="8" t="s">
        <v>10</v>
      </c>
    </row>
    <row r="1485" spans="1:8" ht="22.5" customHeight="1">
      <c r="A1485" s="8" t="s">
        <v>87</v>
      </c>
      <c r="B1485" s="8" t="str">
        <f>"丁可"</f>
        <v>丁可</v>
      </c>
      <c r="C1485" s="8" t="str">
        <f>"341182199803014626"</f>
        <v>341182199803014626</v>
      </c>
      <c r="D1485" s="8" t="str">
        <f>"20200305014"</f>
        <v>20200305014</v>
      </c>
      <c r="E1485" s="9">
        <v>51.1</v>
      </c>
      <c r="F1485" s="9">
        <v>69</v>
      </c>
      <c r="G1485" s="9">
        <f t="shared" si="23"/>
        <v>120.1</v>
      </c>
      <c r="H1485" s="8"/>
    </row>
    <row r="1486" spans="1:8" ht="22.5" customHeight="1">
      <c r="A1486" s="8" t="s">
        <v>87</v>
      </c>
      <c r="B1486" s="8" t="str">
        <f>"王淼"</f>
        <v>王淼</v>
      </c>
      <c r="C1486" s="8" t="str">
        <f>"341103200002253029"</f>
        <v>341103200002253029</v>
      </c>
      <c r="D1486" s="8" t="str">
        <f>"20200305015"</f>
        <v>20200305015</v>
      </c>
      <c r="E1486" s="9">
        <v>39.2</v>
      </c>
      <c r="F1486" s="9">
        <v>71.5</v>
      </c>
      <c r="G1486" s="9">
        <f t="shared" si="23"/>
        <v>110.7</v>
      </c>
      <c r="H1486" s="8"/>
    </row>
    <row r="1487" spans="1:8" ht="22.5" customHeight="1">
      <c r="A1487" s="8" t="s">
        <v>87</v>
      </c>
      <c r="B1487" s="8" t="str">
        <f>"周成"</f>
        <v>周成</v>
      </c>
      <c r="C1487" s="8" t="str">
        <f>"341182199811172026"</f>
        <v>341182199811172026</v>
      </c>
      <c r="D1487" s="8" t="str">
        <f>"20200305013"</f>
        <v>20200305013</v>
      </c>
      <c r="E1487" s="9">
        <v>39</v>
      </c>
      <c r="F1487" s="9">
        <v>68.5</v>
      </c>
      <c r="G1487" s="9">
        <f t="shared" si="23"/>
        <v>107.5</v>
      </c>
      <c r="H1487" s="8"/>
    </row>
    <row r="1488" spans="1:8" ht="22.5" customHeight="1">
      <c r="A1488" s="8" t="s">
        <v>87</v>
      </c>
      <c r="B1488" s="8" t="str">
        <f>"张登雅"</f>
        <v>张登雅</v>
      </c>
      <c r="C1488" s="8" t="str">
        <f>"341182199804083025"</f>
        <v>341182199804083025</v>
      </c>
      <c r="D1488" s="8" t="str">
        <f>"20200305017"</f>
        <v>20200305017</v>
      </c>
      <c r="E1488" s="9">
        <v>36</v>
      </c>
      <c r="F1488" s="9">
        <v>68</v>
      </c>
      <c r="G1488" s="9">
        <f t="shared" si="23"/>
        <v>104</v>
      </c>
      <c r="H1488" s="8"/>
    </row>
    <row r="1489" spans="1:8" ht="22.5" customHeight="1">
      <c r="A1489" s="8" t="s">
        <v>87</v>
      </c>
      <c r="B1489" s="8" t="str">
        <f>"蒋璐璐"</f>
        <v>蒋璐璐</v>
      </c>
      <c r="C1489" s="8" t="str">
        <f>"341182199711223025"</f>
        <v>341182199711223025</v>
      </c>
      <c r="D1489" s="8" t="str">
        <f>"20200305016"</f>
        <v>20200305016</v>
      </c>
      <c r="E1489" s="9">
        <v>34.1</v>
      </c>
      <c r="F1489" s="9">
        <v>68.5</v>
      </c>
      <c r="G1489" s="9">
        <f t="shared" si="23"/>
        <v>102.6</v>
      </c>
      <c r="H1489" s="8"/>
    </row>
    <row r="1490" spans="1:8" ht="22.5" customHeight="1">
      <c r="A1490" s="8" t="s">
        <v>88</v>
      </c>
      <c r="B1490" s="8" t="str">
        <f>"朱旋"</f>
        <v>朱旋</v>
      </c>
      <c r="C1490" s="8" t="str">
        <f>"341182199707170813"</f>
        <v>341182199707170813</v>
      </c>
      <c r="D1490" s="8" t="str">
        <f>"20200305102"</f>
        <v>20200305102</v>
      </c>
      <c r="E1490" s="9">
        <v>72.4</v>
      </c>
      <c r="F1490" s="9">
        <v>73</v>
      </c>
      <c r="G1490" s="9">
        <f t="shared" si="23"/>
        <v>145.4</v>
      </c>
      <c r="H1490" s="8"/>
    </row>
    <row r="1491" spans="1:8" ht="22.5" customHeight="1">
      <c r="A1491" s="8" t="s">
        <v>88</v>
      </c>
      <c r="B1491" s="8" t="str">
        <f>"张兴旺"</f>
        <v>张兴旺</v>
      </c>
      <c r="C1491" s="8" t="str">
        <f>"341182199809206418"</f>
        <v>341182199809206418</v>
      </c>
      <c r="D1491" s="8" t="str">
        <f>"20200305028"</f>
        <v>20200305028</v>
      </c>
      <c r="E1491" s="9">
        <v>57.8</v>
      </c>
      <c r="F1491" s="9">
        <v>71</v>
      </c>
      <c r="G1491" s="9">
        <f t="shared" si="23"/>
        <v>128.8</v>
      </c>
      <c r="H1491" s="8"/>
    </row>
    <row r="1492" spans="1:8" ht="22.5" customHeight="1">
      <c r="A1492" s="8" t="s">
        <v>88</v>
      </c>
      <c r="B1492" s="8" t="str">
        <f>"常秀婕"</f>
        <v>常秀婕</v>
      </c>
      <c r="C1492" s="8" t="str">
        <f>"341182199606120243"</f>
        <v>341182199606120243</v>
      </c>
      <c r="D1492" s="8" t="str">
        <f>"20200305024"</f>
        <v>20200305024</v>
      </c>
      <c r="E1492" s="9">
        <v>56.2</v>
      </c>
      <c r="F1492" s="9">
        <v>71.5</v>
      </c>
      <c r="G1492" s="9">
        <f t="shared" si="23"/>
        <v>127.7</v>
      </c>
      <c r="H1492" s="8"/>
    </row>
    <row r="1493" spans="1:8" ht="22.5" customHeight="1">
      <c r="A1493" s="8" t="s">
        <v>88</v>
      </c>
      <c r="B1493" s="8" t="str">
        <f>"吴泽慧"</f>
        <v>吴泽慧</v>
      </c>
      <c r="C1493" s="8" t="str">
        <f>"340621199906035220"</f>
        <v>340621199906035220</v>
      </c>
      <c r="D1493" s="8" t="str">
        <f>"20200305026"</f>
        <v>20200305026</v>
      </c>
      <c r="E1493" s="9">
        <v>51.2</v>
      </c>
      <c r="F1493" s="9">
        <v>71</v>
      </c>
      <c r="G1493" s="9">
        <f t="shared" si="23"/>
        <v>122.2</v>
      </c>
      <c r="H1493" s="8"/>
    </row>
    <row r="1494" spans="1:8" ht="22.5" customHeight="1">
      <c r="A1494" s="8" t="s">
        <v>88</v>
      </c>
      <c r="B1494" s="8" t="str">
        <f>"黄家诺"</f>
        <v>黄家诺</v>
      </c>
      <c r="C1494" s="8" t="str">
        <f>"341182199708170217"</f>
        <v>341182199708170217</v>
      </c>
      <c r="D1494" s="8" t="str">
        <f>"20200305023"</f>
        <v>20200305023</v>
      </c>
      <c r="E1494" s="9">
        <v>48.9</v>
      </c>
      <c r="F1494" s="9">
        <v>70</v>
      </c>
      <c r="G1494" s="9">
        <f t="shared" si="23"/>
        <v>118.9</v>
      </c>
      <c r="H1494" s="8"/>
    </row>
    <row r="1495" spans="1:8" ht="22.5" customHeight="1">
      <c r="A1495" s="8" t="s">
        <v>88</v>
      </c>
      <c r="B1495" s="8" t="str">
        <f>"魏雪"</f>
        <v>魏雪</v>
      </c>
      <c r="C1495" s="8" t="str">
        <f>"341182199706061666"</f>
        <v>341182199706061666</v>
      </c>
      <c r="D1495" s="8" t="str">
        <f>"20200305020"</f>
        <v>20200305020</v>
      </c>
      <c r="E1495" s="9">
        <v>48.1</v>
      </c>
      <c r="F1495" s="9">
        <v>68.5</v>
      </c>
      <c r="G1495" s="9">
        <f t="shared" si="23"/>
        <v>116.6</v>
      </c>
      <c r="H1495" s="8"/>
    </row>
    <row r="1496" spans="1:8" ht="22.5" customHeight="1">
      <c r="A1496" s="8" t="s">
        <v>88</v>
      </c>
      <c r="B1496" s="8" t="str">
        <f>"刘君妍"</f>
        <v>刘君妍</v>
      </c>
      <c r="C1496" s="8" t="str">
        <f>"341182199811251621"</f>
        <v>341182199811251621</v>
      </c>
      <c r="D1496" s="8" t="str">
        <f>"20200305027"</f>
        <v>20200305027</v>
      </c>
      <c r="E1496" s="9">
        <v>47.4</v>
      </c>
      <c r="F1496" s="9">
        <v>64</v>
      </c>
      <c r="G1496" s="9">
        <f t="shared" si="23"/>
        <v>111.4</v>
      </c>
      <c r="H1496" s="8"/>
    </row>
    <row r="1497" spans="1:8" ht="22.5" customHeight="1">
      <c r="A1497" s="8" t="s">
        <v>88</v>
      </c>
      <c r="B1497" s="8" t="str">
        <f>"王一川"</f>
        <v>王一川</v>
      </c>
      <c r="C1497" s="8" t="str">
        <f>"341182199708270015"</f>
        <v>341182199708270015</v>
      </c>
      <c r="D1497" s="8" t="str">
        <f>"20200305101"</f>
        <v>20200305101</v>
      </c>
      <c r="E1497" s="9">
        <v>43.3</v>
      </c>
      <c r="F1497" s="9">
        <v>67.5</v>
      </c>
      <c r="G1497" s="9">
        <f t="shared" si="23"/>
        <v>110.8</v>
      </c>
      <c r="H1497" s="8"/>
    </row>
    <row r="1498" spans="1:8" ht="22.5" customHeight="1">
      <c r="A1498" s="8" t="s">
        <v>88</v>
      </c>
      <c r="B1498" s="8" t="str">
        <f>"丁德旺"</f>
        <v>丁德旺</v>
      </c>
      <c r="C1498" s="8" t="str">
        <f>"341182199710030416"</f>
        <v>341182199710030416</v>
      </c>
      <c r="D1498" s="8" t="str">
        <f>"20200305021"</f>
        <v>20200305021</v>
      </c>
      <c r="E1498" s="9">
        <v>44.6</v>
      </c>
      <c r="F1498" s="9">
        <v>65.5</v>
      </c>
      <c r="G1498" s="9">
        <f t="shared" si="23"/>
        <v>110.1</v>
      </c>
      <c r="H1498" s="8"/>
    </row>
    <row r="1499" spans="1:8" ht="22.5" customHeight="1">
      <c r="A1499" s="8" t="s">
        <v>88</v>
      </c>
      <c r="B1499" s="8" t="str">
        <f>"黄金虎"</f>
        <v>黄金虎</v>
      </c>
      <c r="C1499" s="8" t="str">
        <f>"341182199805170235"</f>
        <v>341182199805170235</v>
      </c>
      <c r="D1499" s="8" t="str">
        <f>"20200305019"</f>
        <v>20200305019</v>
      </c>
      <c r="E1499" s="9">
        <v>37.2</v>
      </c>
      <c r="F1499" s="9">
        <v>67.5</v>
      </c>
      <c r="G1499" s="9">
        <f t="shared" si="23"/>
        <v>104.7</v>
      </c>
      <c r="H1499" s="8"/>
    </row>
    <row r="1500" spans="1:8" ht="22.5" customHeight="1">
      <c r="A1500" s="8" t="s">
        <v>88</v>
      </c>
      <c r="B1500" s="8" t="str">
        <f>"祖沁伟"</f>
        <v>祖沁伟</v>
      </c>
      <c r="C1500" s="8" t="str">
        <f>"341182199810194418"</f>
        <v>341182199810194418</v>
      </c>
      <c r="D1500" s="8" t="str">
        <f>"20200305022"</f>
        <v>20200305022</v>
      </c>
      <c r="E1500" s="9">
        <v>39.1</v>
      </c>
      <c r="F1500" s="9">
        <v>65.5</v>
      </c>
      <c r="G1500" s="9">
        <f t="shared" si="23"/>
        <v>104.6</v>
      </c>
      <c r="H1500" s="8"/>
    </row>
    <row r="1501" spans="1:8" ht="22.5" customHeight="1">
      <c r="A1501" s="8" t="s">
        <v>88</v>
      </c>
      <c r="B1501" s="8" t="str">
        <f>"杜加洁"</f>
        <v>杜加洁</v>
      </c>
      <c r="C1501" s="8" t="str">
        <f>"341182199806170464"</f>
        <v>341182199806170464</v>
      </c>
      <c r="D1501" s="8" t="str">
        <f>"20200305025"</f>
        <v>20200305025</v>
      </c>
      <c r="E1501" s="9">
        <v>33.7</v>
      </c>
      <c r="F1501" s="9">
        <v>65</v>
      </c>
      <c r="G1501" s="9">
        <f t="shared" si="23"/>
        <v>98.7</v>
      </c>
      <c r="H1501" s="8"/>
    </row>
    <row r="1502" spans="1:8" ht="22.5" customHeight="1">
      <c r="A1502" s="8" t="s">
        <v>88</v>
      </c>
      <c r="B1502" s="8" t="str">
        <f>"焦峻毅"</f>
        <v>焦峻毅</v>
      </c>
      <c r="C1502" s="8" t="str">
        <f>"341182199901040211"</f>
        <v>341182199901040211</v>
      </c>
      <c r="D1502" s="8" t="str">
        <f>"20200305030"</f>
        <v>20200305030</v>
      </c>
      <c r="E1502" s="9">
        <v>27.9</v>
      </c>
      <c r="F1502" s="9">
        <v>43</v>
      </c>
      <c r="G1502" s="9">
        <f t="shared" si="23"/>
        <v>70.9</v>
      </c>
      <c r="H1502" s="8"/>
    </row>
    <row r="1503" spans="1:8" ht="22.5" customHeight="1">
      <c r="A1503" s="8" t="s">
        <v>88</v>
      </c>
      <c r="B1503" s="8" t="str">
        <f>"孟凡翔"</f>
        <v>孟凡翔</v>
      </c>
      <c r="C1503" s="8" t="str">
        <f>"341182199602225419"</f>
        <v>341182199602225419</v>
      </c>
      <c r="D1503" s="8" t="str">
        <f>"20200305018"</f>
        <v>20200305018</v>
      </c>
      <c r="E1503" s="9">
        <v>0</v>
      </c>
      <c r="F1503" s="9">
        <v>0</v>
      </c>
      <c r="G1503" s="9">
        <f t="shared" si="23"/>
        <v>0</v>
      </c>
      <c r="H1503" s="8" t="s">
        <v>10</v>
      </c>
    </row>
    <row r="1504" spans="1:8" ht="22.5" customHeight="1">
      <c r="A1504" s="8" t="s">
        <v>88</v>
      </c>
      <c r="B1504" s="8" t="str">
        <f>"丁永玉"</f>
        <v>丁永玉</v>
      </c>
      <c r="C1504" s="8" t="str">
        <f>"341182199804061627"</f>
        <v>341182199804061627</v>
      </c>
      <c r="D1504" s="8" t="str">
        <f>"20200305029"</f>
        <v>20200305029</v>
      </c>
      <c r="E1504" s="9">
        <v>0</v>
      </c>
      <c r="F1504" s="9">
        <v>0</v>
      </c>
      <c r="G1504" s="9">
        <f t="shared" si="23"/>
        <v>0</v>
      </c>
      <c r="H1504" s="8" t="s">
        <v>10</v>
      </c>
    </row>
    <row r="1505" spans="1:8" ht="22.5" customHeight="1">
      <c r="A1505" s="8" t="s">
        <v>89</v>
      </c>
      <c r="B1505" s="8" t="str">
        <f>"沈忱"</f>
        <v>沈忱</v>
      </c>
      <c r="C1505" s="8" t="str">
        <f>"340302199704241012"</f>
        <v>340302199704241012</v>
      </c>
      <c r="D1505" s="8" t="str">
        <f>"20200305111"</f>
        <v>20200305111</v>
      </c>
      <c r="E1505" s="9">
        <v>63.4</v>
      </c>
      <c r="F1505" s="9">
        <v>73.5</v>
      </c>
      <c r="G1505" s="9">
        <f t="shared" si="23"/>
        <v>136.9</v>
      </c>
      <c r="H1505" s="8"/>
    </row>
    <row r="1506" spans="1:8" ht="22.5" customHeight="1">
      <c r="A1506" s="8" t="s">
        <v>89</v>
      </c>
      <c r="B1506" s="8" t="str">
        <f>"王蓉蓉"</f>
        <v>王蓉蓉</v>
      </c>
      <c r="C1506" s="8" t="str">
        <f>"341182199909141025"</f>
        <v>341182199909141025</v>
      </c>
      <c r="D1506" s="8" t="str">
        <f>"20200305107"</f>
        <v>20200305107</v>
      </c>
      <c r="E1506" s="9">
        <v>51.5</v>
      </c>
      <c r="F1506" s="9">
        <v>71</v>
      </c>
      <c r="G1506" s="9">
        <f t="shared" si="23"/>
        <v>122.5</v>
      </c>
      <c r="H1506" s="8"/>
    </row>
    <row r="1507" spans="1:8" ht="22.5" customHeight="1">
      <c r="A1507" s="8" t="s">
        <v>89</v>
      </c>
      <c r="B1507" s="8" t="str">
        <f>"李加黎"</f>
        <v>李加黎</v>
      </c>
      <c r="C1507" s="8" t="str">
        <f>"341182199901230621"</f>
        <v>341182199901230621</v>
      </c>
      <c r="D1507" s="8" t="str">
        <f>"20200305114"</f>
        <v>20200305114</v>
      </c>
      <c r="E1507" s="9">
        <v>49.7</v>
      </c>
      <c r="F1507" s="9">
        <v>72.5</v>
      </c>
      <c r="G1507" s="9">
        <f t="shared" si="23"/>
        <v>122.2</v>
      </c>
      <c r="H1507" s="8"/>
    </row>
    <row r="1508" spans="1:8" ht="22.5" customHeight="1">
      <c r="A1508" s="8" t="s">
        <v>89</v>
      </c>
      <c r="B1508" s="8" t="str">
        <f>"孙加岚"</f>
        <v>孙加岚</v>
      </c>
      <c r="C1508" s="8" t="str">
        <f>"341182199802082221"</f>
        <v>341182199802082221</v>
      </c>
      <c r="D1508" s="8" t="str">
        <f>"20200305112"</f>
        <v>20200305112</v>
      </c>
      <c r="E1508" s="9">
        <v>54.5</v>
      </c>
      <c r="F1508" s="9">
        <v>66.5</v>
      </c>
      <c r="G1508" s="9">
        <f t="shared" si="23"/>
        <v>121</v>
      </c>
      <c r="H1508" s="8"/>
    </row>
    <row r="1509" spans="1:8" ht="22.5" customHeight="1">
      <c r="A1509" s="8" t="s">
        <v>89</v>
      </c>
      <c r="B1509" s="8" t="str">
        <f>"王凤芝"</f>
        <v>王凤芝</v>
      </c>
      <c r="C1509" s="8" t="str">
        <f>"341126199805202320"</f>
        <v>341126199805202320</v>
      </c>
      <c r="D1509" s="8" t="str">
        <f>"20200305108"</f>
        <v>20200305108</v>
      </c>
      <c r="E1509" s="9">
        <v>50.2</v>
      </c>
      <c r="F1509" s="9">
        <v>69.5</v>
      </c>
      <c r="G1509" s="9">
        <f t="shared" si="23"/>
        <v>119.7</v>
      </c>
      <c r="H1509" s="8"/>
    </row>
    <row r="1510" spans="1:8" ht="22.5" customHeight="1">
      <c r="A1510" s="8" t="s">
        <v>89</v>
      </c>
      <c r="B1510" s="8" t="str">
        <f>"杨小雪"</f>
        <v>杨小雪</v>
      </c>
      <c r="C1510" s="8" t="str">
        <f>"340322199511164669"</f>
        <v>340322199511164669</v>
      </c>
      <c r="D1510" s="8" t="str">
        <f>"20200305109"</f>
        <v>20200305109</v>
      </c>
      <c r="E1510" s="9">
        <v>44.4</v>
      </c>
      <c r="F1510" s="9">
        <v>70.5</v>
      </c>
      <c r="G1510" s="9">
        <f t="shared" si="23"/>
        <v>114.9</v>
      </c>
      <c r="H1510" s="8"/>
    </row>
    <row r="1511" spans="1:8" ht="22.5" customHeight="1">
      <c r="A1511" s="8" t="s">
        <v>89</v>
      </c>
      <c r="B1511" s="8" t="str">
        <f>"蒋文怡"</f>
        <v>蒋文怡</v>
      </c>
      <c r="C1511" s="8" t="str">
        <f>"320830200001270049"</f>
        <v>320830200001270049</v>
      </c>
      <c r="D1511" s="8" t="str">
        <f>"20200305106"</f>
        <v>20200305106</v>
      </c>
      <c r="E1511" s="9">
        <v>41.4</v>
      </c>
      <c r="F1511" s="9">
        <v>70</v>
      </c>
      <c r="G1511" s="9">
        <f t="shared" si="23"/>
        <v>111.4</v>
      </c>
      <c r="H1511" s="8"/>
    </row>
    <row r="1512" spans="1:8" ht="22.5" customHeight="1">
      <c r="A1512" s="8" t="s">
        <v>89</v>
      </c>
      <c r="B1512" s="8" t="str">
        <f>"李甜甜"</f>
        <v>李甜甜</v>
      </c>
      <c r="C1512" s="8" t="str">
        <f>"341182199809222821"</f>
        <v>341182199809222821</v>
      </c>
      <c r="D1512" s="8" t="str">
        <f>"20200305103"</f>
        <v>20200305103</v>
      </c>
      <c r="E1512" s="9">
        <v>44.4</v>
      </c>
      <c r="F1512" s="9">
        <v>66</v>
      </c>
      <c r="G1512" s="9">
        <f t="shared" si="23"/>
        <v>110.4</v>
      </c>
      <c r="H1512" s="8"/>
    </row>
    <row r="1513" spans="1:8" ht="22.5" customHeight="1">
      <c r="A1513" s="8" t="s">
        <v>89</v>
      </c>
      <c r="B1513" s="8" t="str">
        <f>"李凯月"</f>
        <v>李凯月</v>
      </c>
      <c r="C1513" s="8" t="str">
        <f>"341127199709162847"</f>
        <v>341127199709162847</v>
      </c>
      <c r="D1513" s="8" t="str">
        <f>"20200305104"</f>
        <v>20200305104</v>
      </c>
      <c r="E1513" s="9">
        <v>43.2</v>
      </c>
      <c r="F1513" s="9">
        <v>63</v>
      </c>
      <c r="G1513" s="9">
        <f t="shared" si="23"/>
        <v>106.2</v>
      </c>
      <c r="H1513" s="8"/>
    </row>
    <row r="1514" spans="1:8" ht="22.5" customHeight="1">
      <c r="A1514" s="8" t="s">
        <v>89</v>
      </c>
      <c r="B1514" s="8" t="str">
        <f>"何婷"</f>
        <v>何婷</v>
      </c>
      <c r="C1514" s="8" t="str">
        <f>"341122199702020027"</f>
        <v>341122199702020027</v>
      </c>
      <c r="D1514" s="8" t="str">
        <f>"20200305110"</f>
        <v>20200305110</v>
      </c>
      <c r="E1514" s="9">
        <v>37.5</v>
      </c>
      <c r="F1514" s="9">
        <v>68.5</v>
      </c>
      <c r="G1514" s="9">
        <f t="shared" si="23"/>
        <v>106</v>
      </c>
      <c r="H1514" s="8"/>
    </row>
    <row r="1515" spans="1:8" ht="22.5" customHeight="1">
      <c r="A1515" s="8" t="s">
        <v>89</v>
      </c>
      <c r="B1515" s="8" t="str">
        <f>"柏海燕"</f>
        <v>柏海燕</v>
      </c>
      <c r="C1515" s="8" t="str">
        <f>"341182199710164027"</f>
        <v>341182199710164027</v>
      </c>
      <c r="D1515" s="8" t="str">
        <f>"20200305105"</f>
        <v>20200305105</v>
      </c>
      <c r="E1515" s="9">
        <v>0</v>
      </c>
      <c r="F1515" s="9">
        <v>0</v>
      </c>
      <c r="G1515" s="9">
        <f t="shared" si="23"/>
        <v>0</v>
      </c>
      <c r="H1515" s="8" t="s">
        <v>10</v>
      </c>
    </row>
    <row r="1516" spans="1:8" ht="22.5" customHeight="1">
      <c r="A1516" s="8" t="s">
        <v>89</v>
      </c>
      <c r="B1516" s="8" t="str">
        <f>"刘瑞"</f>
        <v>刘瑞</v>
      </c>
      <c r="C1516" s="8" t="str">
        <f>"341182199705080021"</f>
        <v>341182199705080021</v>
      </c>
      <c r="D1516" s="8" t="str">
        <f>"20200305113"</f>
        <v>20200305113</v>
      </c>
      <c r="E1516" s="9">
        <v>0</v>
      </c>
      <c r="F1516" s="9">
        <v>0</v>
      </c>
      <c r="G1516" s="9">
        <f t="shared" si="23"/>
        <v>0</v>
      </c>
      <c r="H1516" s="8" t="s">
        <v>10</v>
      </c>
    </row>
    <row r="1517" spans="1:8" ht="22.5" customHeight="1">
      <c r="A1517" s="8" t="s">
        <v>89</v>
      </c>
      <c r="B1517" s="8" t="str">
        <f>"丁柔"</f>
        <v>丁柔</v>
      </c>
      <c r="C1517" s="8" t="str">
        <f>"341182199806302623"</f>
        <v>341182199806302623</v>
      </c>
      <c r="D1517" s="8" t="str">
        <f>"20200305115"</f>
        <v>20200305115</v>
      </c>
      <c r="E1517" s="9">
        <v>0</v>
      </c>
      <c r="F1517" s="9">
        <v>0</v>
      </c>
      <c r="G1517" s="9">
        <f t="shared" si="23"/>
        <v>0</v>
      </c>
      <c r="H1517" s="8" t="s">
        <v>10</v>
      </c>
    </row>
  </sheetData>
  <sheetProtection/>
  <mergeCells count="1">
    <mergeCell ref="A1:H1"/>
  </mergeCells>
  <printOptions horizontalCentered="1"/>
  <pageMargins left="0.5902777777777778" right="0.5902777777777778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90"/>
  <sheetViews>
    <sheetView tabSelected="1" workbookViewId="0" topLeftCell="A1">
      <pane ySplit="3" topLeftCell="A4" activePane="bottomLeft" state="frozen"/>
      <selection pane="bottomLeft" activeCell="A4" sqref="A4"/>
    </sheetView>
  </sheetViews>
  <sheetFormatPr defaultColWidth="9.00390625" defaultRowHeight="14.25"/>
  <cols>
    <col min="1" max="1" width="20.25390625" style="1" customWidth="1"/>
    <col min="2" max="2" width="16.125" style="1" customWidth="1"/>
    <col min="3" max="3" width="16.75390625" style="1" customWidth="1"/>
    <col min="4" max="4" width="15.75390625" style="1" customWidth="1"/>
    <col min="5" max="5" width="16.625" style="1" customWidth="1"/>
    <col min="6" max="6" width="9.00390625" style="1" customWidth="1"/>
    <col min="7" max="7" width="16.125" style="1" customWidth="1"/>
    <col min="8" max="16384" width="9.00390625" style="1" customWidth="1"/>
  </cols>
  <sheetData>
    <row r="1" ht="18" customHeight="1">
      <c r="A1" s="2" t="s">
        <v>90</v>
      </c>
    </row>
    <row r="2" spans="1:5" ht="30" customHeight="1">
      <c r="A2" s="3" t="s">
        <v>91</v>
      </c>
      <c r="B2" s="4"/>
      <c r="C2" s="4"/>
      <c r="D2" s="4"/>
      <c r="E2" s="4"/>
    </row>
    <row r="3" spans="1:5" ht="22.5" customHeight="1">
      <c r="A3" s="5" t="s">
        <v>1</v>
      </c>
      <c r="B3" s="5" t="s">
        <v>4</v>
      </c>
      <c r="C3" s="6" t="s">
        <v>5</v>
      </c>
      <c r="D3" s="6" t="s">
        <v>6</v>
      </c>
      <c r="E3" s="7" t="s">
        <v>7</v>
      </c>
    </row>
    <row r="4" spans="1:7" ht="22.5" customHeight="1">
      <c r="A4" s="8" t="s">
        <v>9</v>
      </c>
      <c r="B4" s="8" t="str">
        <f>"20200300108"</f>
        <v>20200300108</v>
      </c>
      <c r="C4" s="9">
        <v>69</v>
      </c>
      <c r="D4" s="9">
        <v>75</v>
      </c>
      <c r="E4" s="9">
        <f aca="true" t="shared" si="0" ref="E4:E67">C4+D4</f>
        <v>144</v>
      </c>
      <c r="G4" s="10"/>
    </row>
    <row r="5" spans="1:7" ht="22.5" customHeight="1">
      <c r="A5" s="8" t="s">
        <v>9</v>
      </c>
      <c r="B5" s="8" t="str">
        <f>"20200300105"</f>
        <v>20200300105</v>
      </c>
      <c r="C5" s="9">
        <v>63.4</v>
      </c>
      <c r="D5" s="9">
        <v>73.5</v>
      </c>
      <c r="E5" s="9">
        <f t="shared" si="0"/>
        <v>136.9</v>
      </c>
      <c r="G5" s="10"/>
    </row>
    <row r="6" spans="1:7" ht="22.5" customHeight="1">
      <c r="A6" s="8" t="s">
        <v>9</v>
      </c>
      <c r="B6" s="8" t="str">
        <f>"20200300106"</f>
        <v>20200300106</v>
      </c>
      <c r="C6" s="9">
        <v>67.6</v>
      </c>
      <c r="D6" s="9">
        <v>69</v>
      </c>
      <c r="E6" s="9">
        <f t="shared" si="0"/>
        <v>136.6</v>
      </c>
      <c r="G6" s="10"/>
    </row>
    <row r="7" spans="1:7" ht="22.5" customHeight="1">
      <c r="A7" s="8" t="s">
        <v>11</v>
      </c>
      <c r="B7" s="8" t="str">
        <f>"20200300112"</f>
        <v>20200300112</v>
      </c>
      <c r="C7" s="9">
        <v>60.5</v>
      </c>
      <c r="D7" s="9">
        <v>74.5</v>
      </c>
      <c r="E7" s="9">
        <f t="shared" si="0"/>
        <v>135</v>
      </c>
      <c r="G7" s="10"/>
    </row>
    <row r="8" spans="1:7" ht="22.5" customHeight="1">
      <c r="A8" s="8" t="s">
        <v>11</v>
      </c>
      <c r="B8" s="8" t="str">
        <f>"20200300113"</f>
        <v>20200300113</v>
      </c>
      <c r="C8" s="9">
        <v>55.8</v>
      </c>
      <c r="D8" s="9">
        <v>70</v>
      </c>
      <c r="E8" s="9">
        <f t="shared" si="0"/>
        <v>125.8</v>
      </c>
      <c r="G8" s="10"/>
    </row>
    <row r="9" spans="1:7" ht="22.5" customHeight="1">
      <c r="A9" s="8" t="s">
        <v>11</v>
      </c>
      <c r="B9" s="8" t="str">
        <f>"20200300110"</f>
        <v>20200300110</v>
      </c>
      <c r="C9" s="9">
        <v>50.6</v>
      </c>
      <c r="D9" s="9">
        <v>74.5</v>
      </c>
      <c r="E9" s="9">
        <f t="shared" si="0"/>
        <v>125.1</v>
      </c>
      <c r="G9" s="10"/>
    </row>
    <row r="10" spans="1:7" ht="22.5" customHeight="1">
      <c r="A10" s="8" t="s">
        <v>12</v>
      </c>
      <c r="B10" s="8" t="str">
        <f>"20200300114"</f>
        <v>20200300114</v>
      </c>
      <c r="C10" s="9">
        <v>52.9</v>
      </c>
      <c r="D10" s="9">
        <v>74.5</v>
      </c>
      <c r="E10" s="9">
        <f t="shared" si="0"/>
        <v>127.4</v>
      </c>
      <c r="G10" s="10"/>
    </row>
    <row r="11" spans="1:7" ht="22.5" customHeight="1">
      <c r="A11" s="8" t="s">
        <v>12</v>
      </c>
      <c r="B11" s="8" t="str">
        <f>"20200300115"</f>
        <v>20200300115</v>
      </c>
      <c r="C11" s="9">
        <v>50.1</v>
      </c>
      <c r="D11" s="9">
        <v>71.5</v>
      </c>
      <c r="E11" s="9">
        <f t="shared" si="0"/>
        <v>121.6</v>
      </c>
      <c r="G11" s="10"/>
    </row>
    <row r="12" spans="1:7" ht="22.5" customHeight="1">
      <c r="A12" s="8" t="s">
        <v>13</v>
      </c>
      <c r="B12" s="8" t="str">
        <f>"20200300118"</f>
        <v>20200300118</v>
      </c>
      <c r="C12" s="9">
        <v>70.4</v>
      </c>
      <c r="D12" s="9">
        <v>70</v>
      </c>
      <c r="E12" s="9">
        <f t="shared" si="0"/>
        <v>140.4</v>
      </c>
      <c r="G12" s="10"/>
    </row>
    <row r="13" spans="1:7" ht="22.5" customHeight="1">
      <c r="A13" s="8" t="s">
        <v>13</v>
      </c>
      <c r="B13" s="8" t="str">
        <f>"20200300122"</f>
        <v>20200300122</v>
      </c>
      <c r="C13" s="9">
        <v>61.8</v>
      </c>
      <c r="D13" s="9">
        <v>75.5</v>
      </c>
      <c r="E13" s="9">
        <f t="shared" si="0"/>
        <v>137.3</v>
      </c>
      <c r="G13" s="10"/>
    </row>
    <row r="14" spans="1:7" ht="22.5" customHeight="1">
      <c r="A14" s="9" t="s">
        <v>13</v>
      </c>
      <c r="B14" s="9" t="str">
        <f>"20200300121"</f>
        <v>20200300121</v>
      </c>
      <c r="C14" s="9">
        <v>59.4</v>
      </c>
      <c r="D14" s="9">
        <v>72</v>
      </c>
      <c r="E14" s="9">
        <f t="shared" si="0"/>
        <v>131.4</v>
      </c>
      <c r="G14" s="11"/>
    </row>
    <row r="15" spans="1:7" ht="22.5" customHeight="1">
      <c r="A15" s="8" t="s">
        <v>14</v>
      </c>
      <c r="B15" s="8" t="str">
        <f>"20200300207"</f>
        <v>20200300207</v>
      </c>
      <c r="C15" s="9">
        <v>65.5</v>
      </c>
      <c r="D15" s="9">
        <v>71.5</v>
      </c>
      <c r="E15" s="9">
        <f t="shared" si="0"/>
        <v>137</v>
      </c>
      <c r="G15" s="10"/>
    </row>
    <row r="16" spans="1:7" ht="22.5" customHeight="1">
      <c r="A16" s="8" t="s">
        <v>14</v>
      </c>
      <c r="B16" s="8" t="str">
        <f>"20200300205"</f>
        <v>20200300205</v>
      </c>
      <c r="C16" s="9">
        <v>61.4</v>
      </c>
      <c r="D16" s="9">
        <v>73</v>
      </c>
      <c r="E16" s="9">
        <f t="shared" si="0"/>
        <v>134.4</v>
      </c>
      <c r="G16" s="10"/>
    </row>
    <row r="17" spans="1:7" ht="22.5" customHeight="1">
      <c r="A17" s="8" t="s">
        <v>14</v>
      </c>
      <c r="B17" s="8" t="str">
        <f>"20200300130"</f>
        <v>20200300130</v>
      </c>
      <c r="C17" s="9">
        <v>54.9</v>
      </c>
      <c r="D17" s="9">
        <v>76</v>
      </c>
      <c r="E17" s="9">
        <f t="shared" si="0"/>
        <v>130.9</v>
      </c>
      <c r="G17" s="10"/>
    </row>
    <row r="18" spans="1:7" ht="22.5" customHeight="1">
      <c r="A18" s="8" t="s">
        <v>15</v>
      </c>
      <c r="B18" s="8" t="str">
        <f>"20200300211"</f>
        <v>20200300211</v>
      </c>
      <c r="C18" s="9">
        <v>60.4</v>
      </c>
      <c r="D18" s="9">
        <v>74.5</v>
      </c>
      <c r="E18" s="9">
        <f t="shared" si="0"/>
        <v>134.9</v>
      </c>
      <c r="G18" s="10"/>
    </row>
    <row r="19" spans="1:7" ht="22.5" customHeight="1">
      <c r="A19" s="8" t="s">
        <v>15</v>
      </c>
      <c r="B19" s="8" t="str">
        <f>"20200300208"</f>
        <v>20200300208</v>
      </c>
      <c r="C19" s="9">
        <v>50.8</v>
      </c>
      <c r="D19" s="9">
        <v>70.5</v>
      </c>
      <c r="E19" s="9">
        <f t="shared" si="0"/>
        <v>121.3</v>
      </c>
      <c r="G19" s="10"/>
    </row>
    <row r="20" spans="1:7" ht="22.5" customHeight="1">
      <c r="A20" s="8" t="s">
        <v>16</v>
      </c>
      <c r="B20" s="8" t="str">
        <f>"20200300214"</f>
        <v>20200300214</v>
      </c>
      <c r="C20" s="9">
        <v>53.2</v>
      </c>
      <c r="D20" s="9">
        <v>71</v>
      </c>
      <c r="E20" s="9">
        <f t="shared" si="0"/>
        <v>124.2</v>
      </c>
      <c r="G20" s="10"/>
    </row>
    <row r="21" spans="1:7" ht="22.5" customHeight="1">
      <c r="A21" s="8" t="s">
        <v>16</v>
      </c>
      <c r="B21" s="8" t="str">
        <f>"20200300215"</f>
        <v>20200300215</v>
      </c>
      <c r="C21" s="9">
        <v>56.3</v>
      </c>
      <c r="D21" s="9">
        <v>67.5</v>
      </c>
      <c r="E21" s="9">
        <f t="shared" si="0"/>
        <v>123.8</v>
      </c>
      <c r="G21" s="10"/>
    </row>
    <row r="22" spans="1:7" ht="22.5" customHeight="1">
      <c r="A22" s="8" t="s">
        <v>17</v>
      </c>
      <c r="B22" s="8" t="str">
        <f>"20200300219"</f>
        <v>20200300219</v>
      </c>
      <c r="C22" s="9">
        <v>69.8</v>
      </c>
      <c r="D22" s="9">
        <v>73</v>
      </c>
      <c r="E22" s="9">
        <f t="shared" si="0"/>
        <v>142.8</v>
      </c>
      <c r="G22" s="10"/>
    </row>
    <row r="23" spans="1:7" ht="22.5" customHeight="1">
      <c r="A23" s="8" t="s">
        <v>17</v>
      </c>
      <c r="B23" s="8" t="str">
        <f>"20200300217"</f>
        <v>20200300217</v>
      </c>
      <c r="C23" s="9">
        <v>65.7</v>
      </c>
      <c r="D23" s="9">
        <v>69.5</v>
      </c>
      <c r="E23" s="9">
        <f t="shared" si="0"/>
        <v>135.2</v>
      </c>
      <c r="G23" s="10"/>
    </row>
    <row r="24" spans="1:7" ht="22.5" customHeight="1">
      <c r="A24" s="8" t="s">
        <v>17</v>
      </c>
      <c r="B24" s="8" t="str">
        <f>"20200300221"</f>
        <v>20200300221</v>
      </c>
      <c r="C24" s="9">
        <v>63.6</v>
      </c>
      <c r="D24" s="9">
        <v>70</v>
      </c>
      <c r="E24" s="9">
        <f t="shared" si="0"/>
        <v>133.6</v>
      </c>
      <c r="G24" s="10"/>
    </row>
    <row r="25" spans="1:7" ht="22.5" customHeight="1">
      <c r="A25" s="8" t="s">
        <v>18</v>
      </c>
      <c r="B25" s="8" t="str">
        <f>"20200300224"</f>
        <v>20200300224</v>
      </c>
      <c r="C25" s="9">
        <v>57.7</v>
      </c>
      <c r="D25" s="9">
        <v>71.5</v>
      </c>
      <c r="E25" s="9">
        <f t="shared" si="0"/>
        <v>129.2</v>
      </c>
      <c r="G25" s="10"/>
    </row>
    <row r="26" spans="1:7" ht="22.5" customHeight="1">
      <c r="A26" s="8" t="s">
        <v>18</v>
      </c>
      <c r="B26" s="8" t="str">
        <f>"20200300225"</f>
        <v>20200300225</v>
      </c>
      <c r="C26" s="9">
        <v>51.4</v>
      </c>
      <c r="D26" s="9">
        <v>75.5</v>
      </c>
      <c r="E26" s="9">
        <f t="shared" si="0"/>
        <v>126.9</v>
      </c>
      <c r="G26" s="10"/>
    </row>
    <row r="27" spans="1:7" ht="22.5" customHeight="1">
      <c r="A27" s="8" t="s">
        <v>19</v>
      </c>
      <c r="B27" s="8" t="str">
        <f>"20200300407"</f>
        <v>20200300407</v>
      </c>
      <c r="C27" s="9">
        <v>74.2</v>
      </c>
      <c r="D27" s="9">
        <v>70.5</v>
      </c>
      <c r="E27" s="9">
        <f t="shared" si="0"/>
        <v>144.7</v>
      </c>
      <c r="G27" s="10"/>
    </row>
    <row r="28" spans="1:7" ht="22.5" customHeight="1">
      <c r="A28" s="8" t="s">
        <v>19</v>
      </c>
      <c r="B28" s="8" t="str">
        <f>"20200300313"</f>
        <v>20200300313</v>
      </c>
      <c r="C28" s="9">
        <v>71.7</v>
      </c>
      <c r="D28" s="9">
        <v>71.5</v>
      </c>
      <c r="E28" s="9">
        <f t="shared" si="0"/>
        <v>143.2</v>
      </c>
      <c r="G28" s="10"/>
    </row>
    <row r="29" spans="1:7" ht="22.5" customHeight="1">
      <c r="A29" s="8" t="s">
        <v>19</v>
      </c>
      <c r="B29" s="8" t="str">
        <f>"20200300417"</f>
        <v>20200300417</v>
      </c>
      <c r="C29" s="9">
        <v>70.7</v>
      </c>
      <c r="D29" s="9">
        <v>71</v>
      </c>
      <c r="E29" s="9">
        <f t="shared" si="0"/>
        <v>141.7</v>
      </c>
      <c r="G29" s="10"/>
    </row>
    <row r="30" spans="1:7" ht="22.5" customHeight="1">
      <c r="A30" s="8" t="s">
        <v>20</v>
      </c>
      <c r="B30" s="8" t="str">
        <f>"20200300506"</f>
        <v>20200300506</v>
      </c>
      <c r="C30" s="9">
        <v>65.5</v>
      </c>
      <c r="D30" s="9">
        <v>71.5</v>
      </c>
      <c r="E30" s="9">
        <f t="shared" si="0"/>
        <v>137</v>
      </c>
      <c r="G30" s="10"/>
    </row>
    <row r="31" spans="1:7" ht="22.5" customHeight="1">
      <c r="A31" s="8" t="s">
        <v>20</v>
      </c>
      <c r="B31" s="8" t="str">
        <f>"20200300505"</f>
        <v>20200300505</v>
      </c>
      <c r="C31" s="9">
        <v>62.2</v>
      </c>
      <c r="D31" s="9">
        <v>72</v>
      </c>
      <c r="E31" s="9">
        <f t="shared" si="0"/>
        <v>134.2</v>
      </c>
      <c r="G31" s="10"/>
    </row>
    <row r="32" spans="1:7" ht="22.5" customHeight="1">
      <c r="A32" s="8" t="s">
        <v>20</v>
      </c>
      <c r="B32" s="8" t="str">
        <f>"20200300503"</f>
        <v>20200300503</v>
      </c>
      <c r="C32" s="9">
        <v>53.9</v>
      </c>
      <c r="D32" s="9">
        <v>73</v>
      </c>
      <c r="E32" s="9">
        <f t="shared" si="0"/>
        <v>126.9</v>
      </c>
      <c r="G32" s="10"/>
    </row>
    <row r="33" spans="1:7" ht="22.5" customHeight="1">
      <c r="A33" s="8" t="s">
        <v>20</v>
      </c>
      <c r="B33" s="8" t="str">
        <f>"20200300429"</f>
        <v>20200300429</v>
      </c>
      <c r="C33" s="9">
        <v>55.8</v>
      </c>
      <c r="D33" s="9">
        <v>71</v>
      </c>
      <c r="E33" s="9">
        <f t="shared" si="0"/>
        <v>126.8</v>
      </c>
      <c r="G33" s="10"/>
    </row>
    <row r="34" spans="1:7" ht="22.5" customHeight="1">
      <c r="A34" s="8" t="s">
        <v>20</v>
      </c>
      <c r="B34" s="8" t="str">
        <f>"20200300428"</f>
        <v>20200300428</v>
      </c>
      <c r="C34" s="9">
        <v>43.3</v>
      </c>
      <c r="D34" s="9">
        <v>77</v>
      </c>
      <c r="E34" s="9">
        <f t="shared" si="0"/>
        <v>120.3</v>
      </c>
      <c r="G34" s="10"/>
    </row>
    <row r="35" spans="1:7" ht="22.5" customHeight="1">
      <c r="A35" s="9" t="s">
        <v>20</v>
      </c>
      <c r="B35" s="9" t="str">
        <f>"20200300502"</f>
        <v>20200300502</v>
      </c>
      <c r="C35" s="9">
        <v>43</v>
      </c>
      <c r="D35" s="9">
        <v>69</v>
      </c>
      <c r="E35" s="9">
        <f t="shared" si="0"/>
        <v>112</v>
      </c>
      <c r="G35" s="11"/>
    </row>
    <row r="36" spans="1:7" ht="22.5" customHeight="1">
      <c r="A36" s="8" t="s">
        <v>21</v>
      </c>
      <c r="B36" s="8" t="str">
        <f>"20200300510"</f>
        <v>20200300510</v>
      </c>
      <c r="C36" s="9">
        <v>64.8</v>
      </c>
      <c r="D36" s="9">
        <v>74.5</v>
      </c>
      <c r="E36" s="9">
        <f t="shared" si="0"/>
        <v>139.3</v>
      </c>
      <c r="G36" s="10"/>
    </row>
    <row r="37" spans="1:7" ht="22.5" customHeight="1">
      <c r="A37" s="8" t="s">
        <v>21</v>
      </c>
      <c r="B37" s="8" t="str">
        <f>"20200300507"</f>
        <v>20200300507</v>
      </c>
      <c r="C37" s="9">
        <v>60.5</v>
      </c>
      <c r="D37" s="9">
        <v>73</v>
      </c>
      <c r="E37" s="9">
        <f t="shared" si="0"/>
        <v>133.5</v>
      </c>
      <c r="G37" s="10"/>
    </row>
    <row r="38" spans="1:7" ht="22.5" customHeight="1">
      <c r="A38" s="8" t="s">
        <v>21</v>
      </c>
      <c r="B38" s="8" t="str">
        <f>"20200300508"</f>
        <v>20200300508</v>
      </c>
      <c r="C38" s="9">
        <v>61.3</v>
      </c>
      <c r="D38" s="9">
        <v>71</v>
      </c>
      <c r="E38" s="9">
        <f t="shared" si="0"/>
        <v>132.3</v>
      </c>
      <c r="G38" s="10"/>
    </row>
    <row r="39" spans="1:7" ht="22.5" customHeight="1">
      <c r="A39" s="8" t="s">
        <v>21</v>
      </c>
      <c r="B39" s="8" t="str">
        <f>"20200300512"</f>
        <v>20200300512</v>
      </c>
      <c r="C39" s="9">
        <v>56.8</v>
      </c>
      <c r="D39" s="9">
        <v>75</v>
      </c>
      <c r="E39" s="9">
        <f t="shared" si="0"/>
        <v>131.8</v>
      </c>
      <c r="G39" s="10"/>
    </row>
    <row r="40" spans="1:7" ht="22.5" customHeight="1">
      <c r="A40" s="8" t="s">
        <v>22</v>
      </c>
      <c r="B40" s="8" t="str">
        <f>"20200300514"</f>
        <v>20200300514</v>
      </c>
      <c r="C40" s="9">
        <v>61.4</v>
      </c>
      <c r="D40" s="9">
        <v>67.5</v>
      </c>
      <c r="E40" s="9">
        <f t="shared" si="0"/>
        <v>128.9</v>
      </c>
      <c r="G40" s="10"/>
    </row>
    <row r="41" spans="1:7" ht="22.5" customHeight="1">
      <c r="A41" s="8" t="s">
        <v>22</v>
      </c>
      <c r="B41" s="8" t="str">
        <f>"20200300513"</f>
        <v>20200300513</v>
      </c>
      <c r="C41" s="9">
        <v>49.7</v>
      </c>
      <c r="D41" s="9">
        <v>75</v>
      </c>
      <c r="E41" s="9">
        <f t="shared" si="0"/>
        <v>124.7</v>
      </c>
      <c r="G41" s="10"/>
    </row>
    <row r="42" spans="1:7" ht="22.5" customHeight="1">
      <c r="A42" s="8" t="s">
        <v>23</v>
      </c>
      <c r="B42" s="8" t="str">
        <f>"20200300519"</f>
        <v>20200300519</v>
      </c>
      <c r="C42" s="9">
        <v>78.5</v>
      </c>
      <c r="D42" s="9">
        <v>74</v>
      </c>
      <c r="E42" s="9">
        <f t="shared" si="0"/>
        <v>152.5</v>
      </c>
      <c r="G42" s="10"/>
    </row>
    <row r="43" spans="1:7" ht="22.5" customHeight="1">
      <c r="A43" s="8" t="s">
        <v>23</v>
      </c>
      <c r="B43" s="8" t="str">
        <f>"20200300524"</f>
        <v>20200300524</v>
      </c>
      <c r="C43" s="9">
        <v>71.5</v>
      </c>
      <c r="D43" s="9">
        <v>79</v>
      </c>
      <c r="E43" s="9">
        <f t="shared" si="0"/>
        <v>150.5</v>
      </c>
      <c r="G43" s="10"/>
    </row>
    <row r="44" spans="1:7" ht="22.5" customHeight="1">
      <c r="A44" s="8" t="s">
        <v>23</v>
      </c>
      <c r="B44" s="8" t="str">
        <f>"20200300517"</f>
        <v>20200300517</v>
      </c>
      <c r="C44" s="9">
        <v>69</v>
      </c>
      <c r="D44" s="9">
        <v>71</v>
      </c>
      <c r="E44" s="9">
        <f t="shared" si="0"/>
        <v>140</v>
      </c>
      <c r="G44" s="10"/>
    </row>
    <row r="45" spans="1:7" ht="22.5" customHeight="1">
      <c r="A45" s="8" t="s">
        <v>23</v>
      </c>
      <c r="B45" s="8" t="str">
        <f>"20200300523"</f>
        <v>20200300523</v>
      </c>
      <c r="C45" s="9">
        <v>64.8</v>
      </c>
      <c r="D45" s="9">
        <v>74.5</v>
      </c>
      <c r="E45" s="9">
        <f t="shared" si="0"/>
        <v>139.3</v>
      </c>
      <c r="G45" s="10"/>
    </row>
    <row r="46" spans="1:7" ht="22.5" customHeight="1">
      <c r="A46" s="8" t="s">
        <v>23</v>
      </c>
      <c r="B46" s="8" t="str">
        <f>"20200300520"</f>
        <v>20200300520</v>
      </c>
      <c r="C46" s="9">
        <v>65.5</v>
      </c>
      <c r="D46" s="9">
        <v>71.5</v>
      </c>
      <c r="E46" s="9">
        <f t="shared" si="0"/>
        <v>137</v>
      </c>
      <c r="G46" s="10"/>
    </row>
    <row r="47" spans="1:7" ht="22.5" customHeight="1">
      <c r="A47" s="9" t="s">
        <v>23</v>
      </c>
      <c r="B47" s="9" t="str">
        <f>"20200300518"</f>
        <v>20200300518</v>
      </c>
      <c r="C47" s="9">
        <v>58.4</v>
      </c>
      <c r="D47" s="9">
        <v>70.5</v>
      </c>
      <c r="E47" s="9">
        <f t="shared" si="0"/>
        <v>128.9</v>
      </c>
      <c r="G47" s="11"/>
    </row>
    <row r="48" spans="1:7" ht="22.5" customHeight="1">
      <c r="A48" s="8" t="s">
        <v>24</v>
      </c>
      <c r="B48" s="8" t="str">
        <f>"20200300527"</f>
        <v>20200300527</v>
      </c>
      <c r="C48" s="9">
        <v>71.7</v>
      </c>
      <c r="D48" s="9">
        <v>73</v>
      </c>
      <c r="E48" s="9">
        <f t="shared" si="0"/>
        <v>144.7</v>
      </c>
      <c r="G48" s="10"/>
    </row>
    <row r="49" spans="1:7" ht="22.5" customHeight="1">
      <c r="A49" s="8" t="s">
        <v>24</v>
      </c>
      <c r="B49" s="8" t="str">
        <f>"20200300529"</f>
        <v>20200300529</v>
      </c>
      <c r="C49" s="9">
        <v>50.4</v>
      </c>
      <c r="D49" s="9">
        <v>70</v>
      </c>
      <c r="E49" s="9">
        <f t="shared" si="0"/>
        <v>120.4</v>
      </c>
      <c r="G49" s="10"/>
    </row>
    <row r="50" spans="1:7" ht="22.5" customHeight="1">
      <c r="A50" s="8" t="s">
        <v>24</v>
      </c>
      <c r="B50" s="8" t="str">
        <f>"20200300528"</f>
        <v>20200300528</v>
      </c>
      <c r="C50" s="9">
        <v>49.6</v>
      </c>
      <c r="D50" s="9">
        <v>70.5</v>
      </c>
      <c r="E50" s="9">
        <f t="shared" si="0"/>
        <v>120.1</v>
      </c>
      <c r="G50" s="10"/>
    </row>
    <row r="51" spans="1:7" ht="22.5" customHeight="1">
      <c r="A51" s="8" t="s">
        <v>25</v>
      </c>
      <c r="B51" s="8" t="str">
        <f>"20200300608"</f>
        <v>20200300608</v>
      </c>
      <c r="C51" s="9">
        <v>63.4</v>
      </c>
      <c r="D51" s="9">
        <v>73.5</v>
      </c>
      <c r="E51" s="9">
        <f t="shared" si="0"/>
        <v>136.9</v>
      </c>
      <c r="G51" s="10"/>
    </row>
    <row r="52" spans="1:7" ht="22.5" customHeight="1">
      <c r="A52" s="8" t="s">
        <v>25</v>
      </c>
      <c r="B52" s="8" t="str">
        <f>"20200300614"</f>
        <v>20200300614</v>
      </c>
      <c r="C52" s="9">
        <v>64.2</v>
      </c>
      <c r="D52" s="9">
        <v>72.5</v>
      </c>
      <c r="E52" s="9">
        <f t="shared" si="0"/>
        <v>136.7</v>
      </c>
      <c r="G52" s="10"/>
    </row>
    <row r="53" spans="1:7" ht="22.5" customHeight="1">
      <c r="A53" s="8" t="s">
        <v>25</v>
      </c>
      <c r="B53" s="8" t="str">
        <f>"20200300607"</f>
        <v>20200300607</v>
      </c>
      <c r="C53" s="9">
        <v>60</v>
      </c>
      <c r="D53" s="9">
        <v>70</v>
      </c>
      <c r="E53" s="9">
        <f t="shared" si="0"/>
        <v>130</v>
      </c>
      <c r="G53" s="10"/>
    </row>
    <row r="54" spans="1:7" ht="22.5" customHeight="1">
      <c r="A54" s="8" t="s">
        <v>25</v>
      </c>
      <c r="B54" s="8" t="str">
        <f>"20200300609"</f>
        <v>20200300609</v>
      </c>
      <c r="C54" s="9">
        <v>55</v>
      </c>
      <c r="D54" s="9">
        <v>73</v>
      </c>
      <c r="E54" s="9">
        <f t="shared" si="0"/>
        <v>128</v>
      </c>
      <c r="G54" s="10"/>
    </row>
    <row r="55" spans="1:7" ht="22.5" customHeight="1">
      <c r="A55" s="8" t="s">
        <v>25</v>
      </c>
      <c r="B55" s="8" t="str">
        <f>"20200300606"</f>
        <v>20200300606</v>
      </c>
      <c r="C55" s="9">
        <v>44.3</v>
      </c>
      <c r="D55" s="9">
        <v>78.5</v>
      </c>
      <c r="E55" s="9">
        <f t="shared" si="0"/>
        <v>122.8</v>
      </c>
      <c r="G55" s="10"/>
    </row>
    <row r="56" spans="1:7" ht="22.5" customHeight="1">
      <c r="A56" s="8" t="s">
        <v>25</v>
      </c>
      <c r="B56" s="8" t="str">
        <f>"20200300612"</f>
        <v>20200300612</v>
      </c>
      <c r="C56" s="9">
        <v>50.3</v>
      </c>
      <c r="D56" s="9">
        <v>71.5</v>
      </c>
      <c r="E56" s="9">
        <f t="shared" si="0"/>
        <v>121.8</v>
      </c>
      <c r="G56" s="10"/>
    </row>
    <row r="57" spans="1:7" ht="22.5" customHeight="1">
      <c r="A57" s="8" t="s">
        <v>25</v>
      </c>
      <c r="B57" s="8" t="str">
        <f>"20200300601"</f>
        <v>20200300601</v>
      </c>
      <c r="C57" s="9">
        <v>51.6</v>
      </c>
      <c r="D57" s="9">
        <v>68</v>
      </c>
      <c r="E57" s="9">
        <f t="shared" si="0"/>
        <v>119.6</v>
      </c>
      <c r="G57" s="10"/>
    </row>
    <row r="58" spans="1:7" ht="22.5" customHeight="1">
      <c r="A58" s="8" t="s">
        <v>25</v>
      </c>
      <c r="B58" s="8" t="str">
        <f>"20200300613"</f>
        <v>20200300613</v>
      </c>
      <c r="C58" s="9">
        <v>49.2</v>
      </c>
      <c r="D58" s="9">
        <v>68</v>
      </c>
      <c r="E58" s="9">
        <f t="shared" si="0"/>
        <v>117.2</v>
      </c>
      <c r="G58" s="10"/>
    </row>
    <row r="59" spans="1:7" ht="22.5" customHeight="1">
      <c r="A59" s="8" t="s">
        <v>25</v>
      </c>
      <c r="B59" s="8" t="str">
        <f>"20200300602"</f>
        <v>20200300602</v>
      </c>
      <c r="C59" s="9">
        <v>42.4</v>
      </c>
      <c r="D59" s="9">
        <v>74.5</v>
      </c>
      <c r="E59" s="9">
        <f t="shared" si="0"/>
        <v>116.9</v>
      </c>
      <c r="G59" s="10"/>
    </row>
    <row r="60" spans="1:7" ht="22.5" customHeight="1">
      <c r="A60" s="8" t="s">
        <v>26</v>
      </c>
      <c r="B60" s="8" t="str">
        <f>"20200300626"</f>
        <v>20200300626</v>
      </c>
      <c r="C60" s="9">
        <v>71.3</v>
      </c>
      <c r="D60" s="9">
        <v>74</v>
      </c>
      <c r="E60" s="9">
        <f t="shared" si="0"/>
        <v>145.3</v>
      </c>
      <c r="G60" s="10"/>
    </row>
    <row r="61" spans="1:7" ht="22.5" customHeight="1">
      <c r="A61" s="8" t="s">
        <v>26</v>
      </c>
      <c r="B61" s="8" t="str">
        <f>"20200300625"</f>
        <v>20200300625</v>
      </c>
      <c r="C61" s="9">
        <v>64.3</v>
      </c>
      <c r="D61" s="9">
        <v>75.5</v>
      </c>
      <c r="E61" s="9">
        <f t="shared" si="0"/>
        <v>139.8</v>
      </c>
      <c r="G61" s="10"/>
    </row>
    <row r="62" spans="1:7" ht="22.5" customHeight="1">
      <c r="A62" s="8" t="s">
        <v>26</v>
      </c>
      <c r="B62" s="8" t="str">
        <f>"20200300629"</f>
        <v>20200300629</v>
      </c>
      <c r="C62" s="9">
        <v>65.1</v>
      </c>
      <c r="D62" s="9">
        <v>73.5</v>
      </c>
      <c r="E62" s="9">
        <f t="shared" si="0"/>
        <v>138.6</v>
      </c>
      <c r="G62" s="10"/>
    </row>
    <row r="63" spans="1:7" ht="22.5" customHeight="1">
      <c r="A63" s="8" t="s">
        <v>26</v>
      </c>
      <c r="B63" s="8" t="str">
        <f>"20200300619"</f>
        <v>20200300619</v>
      </c>
      <c r="C63" s="9">
        <v>64.8</v>
      </c>
      <c r="D63" s="9">
        <v>72.5</v>
      </c>
      <c r="E63" s="9">
        <f t="shared" si="0"/>
        <v>137.3</v>
      </c>
      <c r="G63" s="10"/>
    </row>
    <row r="64" spans="1:7" ht="22.5" customHeight="1">
      <c r="A64" s="8" t="s">
        <v>26</v>
      </c>
      <c r="B64" s="8" t="str">
        <f>"20200300623"</f>
        <v>20200300623</v>
      </c>
      <c r="C64" s="9">
        <v>63.4</v>
      </c>
      <c r="D64" s="9">
        <v>72</v>
      </c>
      <c r="E64" s="9">
        <f t="shared" si="0"/>
        <v>135.4</v>
      </c>
      <c r="G64" s="10"/>
    </row>
    <row r="65" spans="1:7" ht="22.5" customHeight="1">
      <c r="A65" s="8" t="s">
        <v>26</v>
      </c>
      <c r="B65" s="8" t="str">
        <f>"20200300618"</f>
        <v>20200300618</v>
      </c>
      <c r="C65" s="9">
        <v>59.1</v>
      </c>
      <c r="D65" s="9">
        <v>75.5</v>
      </c>
      <c r="E65" s="9">
        <f t="shared" si="0"/>
        <v>134.6</v>
      </c>
      <c r="G65" s="10"/>
    </row>
    <row r="66" spans="1:7" ht="22.5" customHeight="1">
      <c r="A66" s="8" t="s">
        <v>26</v>
      </c>
      <c r="B66" s="8" t="str">
        <f>"20200300615"</f>
        <v>20200300615</v>
      </c>
      <c r="C66" s="9">
        <v>59.7</v>
      </c>
      <c r="D66" s="9">
        <v>71</v>
      </c>
      <c r="E66" s="9">
        <f t="shared" si="0"/>
        <v>130.7</v>
      </c>
      <c r="G66" s="10"/>
    </row>
    <row r="67" spans="1:7" ht="22.5" customHeight="1">
      <c r="A67" s="8" t="s">
        <v>26</v>
      </c>
      <c r="B67" s="8" t="str">
        <f>"20200300617"</f>
        <v>20200300617</v>
      </c>
      <c r="C67" s="9">
        <v>50.6</v>
      </c>
      <c r="D67" s="9">
        <v>74</v>
      </c>
      <c r="E67" s="9">
        <f t="shared" si="0"/>
        <v>124.6</v>
      </c>
      <c r="G67" s="10"/>
    </row>
    <row r="68" spans="1:7" ht="22.5" customHeight="1">
      <c r="A68" s="8" t="s">
        <v>26</v>
      </c>
      <c r="B68" s="8" t="str">
        <f>"20200300621"</f>
        <v>20200300621</v>
      </c>
      <c r="C68" s="9">
        <v>50.9</v>
      </c>
      <c r="D68" s="9">
        <v>72.5</v>
      </c>
      <c r="E68" s="9">
        <f>C68+D68</f>
        <v>123.4</v>
      </c>
      <c r="G68" s="10"/>
    </row>
    <row r="69" spans="1:7" ht="22.5" customHeight="1">
      <c r="A69" s="8" t="s">
        <v>27</v>
      </c>
      <c r="B69" s="8" t="str">
        <f>"20200300826"</f>
        <v>20200300826</v>
      </c>
      <c r="C69" s="9">
        <v>81.1</v>
      </c>
      <c r="D69" s="9">
        <v>72</v>
      </c>
      <c r="E69" s="9">
        <f aca="true" t="shared" si="1" ref="E69:E107">C69+D69</f>
        <v>153.1</v>
      </c>
      <c r="G69" s="10"/>
    </row>
    <row r="70" spans="1:7" ht="22.5" customHeight="1">
      <c r="A70" s="8" t="s">
        <v>27</v>
      </c>
      <c r="B70" s="8" t="str">
        <f>"20200300918"</f>
        <v>20200300918</v>
      </c>
      <c r="C70" s="9">
        <v>71.7</v>
      </c>
      <c r="D70" s="9">
        <v>70</v>
      </c>
      <c r="E70" s="9">
        <f t="shared" si="1"/>
        <v>141.7</v>
      </c>
      <c r="G70" s="10"/>
    </row>
    <row r="71" spans="1:7" ht="22.5" customHeight="1">
      <c r="A71" s="8" t="s">
        <v>27</v>
      </c>
      <c r="B71" s="8" t="str">
        <f>"20200300728"</f>
        <v>20200300728</v>
      </c>
      <c r="C71" s="9">
        <v>74.2</v>
      </c>
      <c r="D71" s="9">
        <v>66.5</v>
      </c>
      <c r="E71" s="9">
        <f t="shared" si="1"/>
        <v>140.7</v>
      </c>
      <c r="G71" s="10"/>
    </row>
    <row r="72" spans="1:7" ht="22.5" customHeight="1">
      <c r="A72" s="8" t="s">
        <v>27</v>
      </c>
      <c r="B72" s="8" t="str">
        <f>"20200300927"</f>
        <v>20200300927</v>
      </c>
      <c r="C72" s="9">
        <v>65.4</v>
      </c>
      <c r="D72" s="9">
        <v>72.5</v>
      </c>
      <c r="E72" s="9">
        <f t="shared" si="1"/>
        <v>137.9</v>
      </c>
      <c r="G72" s="10"/>
    </row>
    <row r="73" spans="1:7" ht="22.5" customHeight="1">
      <c r="A73" s="8" t="s">
        <v>27</v>
      </c>
      <c r="B73" s="8" t="str">
        <f>"20200300730"</f>
        <v>20200300730</v>
      </c>
      <c r="C73" s="9">
        <v>60</v>
      </c>
      <c r="D73" s="9">
        <v>76.5</v>
      </c>
      <c r="E73" s="9">
        <f t="shared" si="1"/>
        <v>136.5</v>
      </c>
      <c r="G73" s="10"/>
    </row>
    <row r="74" spans="1:7" ht="22.5" customHeight="1">
      <c r="A74" s="8" t="s">
        <v>27</v>
      </c>
      <c r="B74" s="8" t="str">
        <f>"20200300929"</f>
        <v>20200300929</v>
      </c>
      <c r="C74" s="9">
        <v>63</v>
      </c>
      <c r="D74" s="9">
        <v>73</v>
      </c>
      <c r="E74" s="9">
        <f t="shared" si="1"/>
        <v>136</v>
      </c>
      <c r="G74" s="10"/>
    </row>
    <row r="75" spans="1:7" ht="22.5" customHeight="1">
      <c r="A75" s="8" t="s">
        <v>27</v>
      </c>
      <c r="B75" s="8" t="str">
        <f>"20200300925"</f>
        <v>20200300925</v>
      </c>
      <c r="C75" s="9">
        <v>62.2</v>
      </c>
      <c r="D75" s="9">
        <v>72.5</v>
      </c>
      <c r="E75" s="9">
        <f t="shared" si="1"/>
        <v>134.7</v>
      </c>
      <c r="G75" s="10"/>
    </row>
    <row r="76" spans="1:7" ht="22.5" customHeight="1">
      <c r="A76" s="8" t="s">
        <v>27</v>
      </c>
      <c r="B76" s="8" t="str">
        <f>"20200300817"</f>
        <v>20200300817</v>
      </c>
      <c r="C76" s="9">
        <v>65.4</v>
      </c>
      <c r="D76" s="9">
        <v>69</v>
      </c>
      <c r="E76" s="9">
        <f t="shared" si="1"/>
        <v>134.4</v>
      </c>
      <c r="G76" s="10"/>
    </row>
    <row r="77" spans="1:7" ht="22.5" customHeight="1">
      <c r="A77" s="8" t="s">
        <v>27</v>
      </c>
      <c r="B77" s="8" t="str">
        <f>"20200301005"</f>
        <v>20200301005</v>
      </c>
      <c r="C77" s="9">
        <v>65.1</v>
      </c>
      <c r="D77" s="9">
        <v>69</v>
      </c>
      <c r="E77" s="9">
        <f t="shared" si="1"/>
        <v>134.1</v>
      </c>
      <c r="G77" s="10"/>
    </row>
    <row r="78" spans="1:7" ht="22.5" customHeight="1">
      <c r="A78" s="8" t="s">
        <v>27</v>
      </c>
      <c r="B78" s="8" t="str">
        <f>"20200301016"</f>
        <v>20200301016</v>
      </c>
      <c r="C78" s="9">
        <v>63.1</v>
      </c>
      <c r="D78" s="9">
        <v>71</v>
      </c>
      <c r="E78" s="9">
        <f t="shared" si="1"/>
        <v>134.1</v>
      </c>
      <c r="G78" s="10"/>
    </row>
    <row r="79" spans="1:7" ht="22.5" customHeight="1">
      <c r="A79" s="8" t="s">
        <v>27</v>
      </c>
      <c r="B79" s="8" t="str">
        <f>"20200300906"</f>
        <v>20200300906</v>
      </c>
      <c r="C79" s="9">
        <v>58</v>
      </c>
      <c r="D79" s="9">
        <v>76</v>
      </c>
      <c r="E79" s="9">
        <f t="shared" si="1"/>
        <v>134</v>
      </c>
      <c r="G79" s="10"/>
    </row>
    <row r="80" spans="1:7" ht="22.5" customHeight="1">
      <c r="A80" s="8" t="s">
        <v>27</v>
      </c>
      <c r="B80" s="8" t="str">
        <f>"20200300710"</f>
        <v>20200300710</v>
      </c>
      <c r="C80" s="9">
        <v>62.3</v>
      </c>
      <c r="D80" s="9">
        <v>71</v>
      </c>
      <c r="E80" s="9">
        <f t="shared" si="1"/>
        <v>133.3</v>
      </c>
      <c r="G80" s="10"/>
    </row>
    <row r="81" spans="1:7" ht="22.5" customHeight="1">
      <c r="A81" s="8" t="s">
        <v>29</v>
      </c>
      <c r="B81" s="8" t="str">
        <f>"20200301122"</f>
        <v>20200301122</v>
      </c>
      <c r="C81" s="9">
        <v>44.8</v>
      </c>
      <c r="D81" s="9">
        <v>74.5</v>
      </c>
      <c r="E81" s="9">
        <f t="shared" si="1"/>
        <v>119.3</v>
      </c>
      <c r="G81" s="10"/>
    </row>
    <row r="82" spans="1:7" ht="22.5" customHeight="1">
      <c r="A82" s="8" t="s">
        <v>30</v>
      </c>
      <c r="B82" s="8" t="str">
        <f>"20200301125"</f>
        <v>20200301125</v>
      </c>
      <c r="C82" s="9">
        <v>69.7</v>
      </c>
      <c r="D82" s="9">
        <v>68.5</v>
      </c>
      <c r="E82" s="9">
        <f t="shared" si="1"/>
        <v>138.2</v>
      </c>
      <c r="G82" s="10"/>
    </row>
    <row r="83" spans="1:7" ht="22.5" customHeight="1">
      <c r="A83" s="8" t="s">
        <v>31</v>
      </c>
      <c r="B83" s="8" t="str">
        <f>"20200301204"</f>
        <v>20200301204</v>
      </c>
      <c r="C83" s="9">
        <v>65.1</v>
      </c>
      <c r="D83" s="9">
        <v>71.5</v>
      </c>
      <c r="E83" s="9">
        <f t="shared" si="1"/>
        <v>136.6</v>
      </c>
      <c r="G83" s="10"/>
    </row>
    <row r="84" spans="1:7" ht="22.5" customHeight="1">
      <c r="A84" s="8" t="s">
        <v>31</v>
      </c>
      <c r="B84" s="8" t="str">
        <f>"20200301206"</f>
        <v>20200301206</v>
      </c>
      <c r="C84" s="9">
        <v>60.2</v>
      </c>
      <c r="D84" s="9">
        <v>72</v>
      </c>
      <c r="E84" s="9">
        <f t="shared" si="1"/>
        <v>132.2</v>
      </c>
      <c r="G84" s="10"/>
    </row>
    <row r="85" spans="1:7" ht="22.5" customHeight="1">
      <c r="A85" s="8" t="s">
        <v>31</v>
      </c>
      <c r="B85" s="8" t="str">
        <f>"20200301201"</f>
        <v>20200301201</v>
      </c>
      <c r="C85" s="9">
        <v>57.8</v>
      </c>
      <c r="D85" s="9">
        <v>73</v>
      </c>
      <c r="E85" s="9">
        <f t="shared" si="1"/>
        <v>130.8</v>
      </c>
      <c r="G85" s="10"/>
    </row>
    <row r="86" spans="1:7" ht="22.5" customHeight="1">
      <c r="A86" s="8" t="s">
        <v>31</v>
      </c>
      <c r="B86" s="8" t="str">
        <f>"20200301210"</f>
        <v>20200301210</v>
      </c>
      <c r="C86" s="9">
        <v>63.3</v>
      </c>
      <c r="D86" s="9">
        <v>65</v>
      </c>
      <c r="E86" s="9">
        <f t="shared" si="1"/>
        <v>128.3</v>
      </c>
      <c r="G86" s="10"/>
    </row>
    <row r="87" spans="1:7" ht="22.5" customHeight="1">
      <c r="A87" s="8" t="s">
        <v>31</v>
      </c>
      <c r="B87" s="8" t="str">
        <f>"20200301128"</f>
        <v>20200301128</v>
      </c>
      <c r="C87" s="9">
        <v>51.7</v>
      </c>
      <c r="D87" s="9">
        <v>67.5</v>
      </c>
      <c r="E87" s="9">
        <f t="shared" si="1"/>
        <v>119.2</v>
      </c>
      <c r="G87" s="10"/>
    </row>
    <row r="88" spans="1:7" ht="22.5" customHeight="1">
      <c r="A88" s="9" t="s">
        <v>31</v>
      </c>
      <c r="B88" s="9" t="str">
        <f>"20200301209"</f>
        <v>20200301209</v>
      </c>
      <c r="C88" s="9">
        <v>41.4</v>
      </c>
      <c r="D88" s="9">
        <v>66.5</v>
      </c>
      <c r="E88" s="9">
        <f t="shared" si="1"/>
        <v>107.9</v>
      </c>
      <c r="G88" s="11"/>
    </row>
    <row r="89" spans="1:7" ht="22.5" customHeight="1">
      <c r="A89" s="8" t="s">
        <v>32</v>
      </c>
      <c r="B89" s="8" t="str">
        <f>"20200301218"</f>
        <v>20200301218</v>
      </c>
      <c r="C89" s="9">
        <v>63.7</v>
      </c>
      <c r="D89" s="9">
        <v>71</v>
      </c>
      <c r="E89" s="9">
        <f t="shared" si="1"/>
        <v>134.7</v>
      </c>
      <c r="G89" s="10"/>
    </row>
    <row r="90" spans="1:7" ht="22.5" customHeight="1">
      <c r="A90" s="8" t="s">
        <v>32</v>
      </c>
      <c r="B90" s="8" t="str">
        <f>"20200301212"</f>
        <v>20200301212</v>
      </c>
      <c r="C90" s="9">
        <v>61.7</v>
      </c>
      <c r="D90" s="9">
        <v>70</v>
      </c>
      <c r="E90" s="9">
        <f t="shared" si="1"/>
        <v>131.7</v>
      </c>
      <c r="G90" s="10"/>
    </row>
    <row r="91" spans="1:7" ht="22.5" customHeight="1">
      <c r="A91" s="8" t="s">
        <v>32</v>
      </c>
      <c r="B91" s="8" t="str">
        <f>"20200301214"</f>
        <v>20200301214</v>
      </c>
      <c r="C91" s="9">
        <v>51.3</v>
      </c>
      <c r="D91" s="9">
        <v>70.5</v>
      </c>
      <c r="E91" s="9">
        <f t="shared" si="1"/>
        <v>121.8</v>
      </c>
      <c r="G91" s="10"/>
    </row>
    <row r="92" spans="1:7" ht="22.5" customHeight="1">
      <c r="A92" s="8" t="s">
        <v>32</v>
      </c>
      <c r="B92" s="8" t="str">
        <f>"20200301213"</f>
        <v>20200301213</v>
      </c>
      <c r="C92" s="9">
        <v>44.1</v>
      </c>
      <c r="D92" s="9">
        <v>70.5</v>
      </c>
      <c r="E92" s="9">
        <f t="shared" si="1"/>
        <v>114.6</v>
      </c>
      <c r="G92" s="10"/>
    </row>
    <row r="93" spans="1:7" ht="22.5" customHeight="1">
      <c r="A93" s="8" t="s">
        <v>32</v>
      </c>
      <c r="B93" s="8" t="str">
        <f>"20200301215"</f>
        <v>20200301215</v>
      </c>
      <c r="C93" s="9">
        <v>42.5</v>
      </c>
      <c r="D93" s="9">
        <v>69</v>
      </c>
      <c r="E93" s="9">
        <f t="shared" si="1"/>
        <v>111.5</v>
      </c>
      <c r="G93" s="10"/>
    </row>
    <row r="94" spans="1:7" ht="22.5" customHeight="1">
      <c r="A94" s="8" t="s">
        <v>32</v>
      </c>
      <c r="B94" s="8" t="str">
        <f>"20200301211"</f>
        <v>20200301211</v>
      </c>
      <c r="C94" s="9">
        <v>41.5</v>
      </c>
      <c r="D94" s="9">
        <v>67</v>
      </c>
      <c r="E94" s="9">
        <f t="shared" si="1"/>
        <v>108.5</v>
      </c>
      <c r="G94" s="10"/>
    </row>
    <row r="95" spans="1:7" ht="22.5" customHeight="1">
      <c r="A95" s="8" t="s">
        <v>33</v>
      </c>
      <c r="B95" s="8" t="str">
        <f>"20200301227"</f>
        <v>20200301227</v>
      </c>
      <c r="C95" s="9">
        <v>52.2</v>
      </c>
      <c r="D95" s="9">
        <v>73</v>
      </c>
      <c r="E95" s="9">
        <f t="shared" si="1"/>
        <v>125.2</v>
      </c>
      <c r="G95" s="10"/>
    </row>
    <row r="96" spans="1:7" ht="22.5" customHeight="1">
      <c r="A96" s="8" t="s">
        <v>33</v>
      </c>
      <c r="B96" s="8" t="str">
        <f>"20200301221"</f>
        <v>20200301221</v>
      </c>
      <c r="C96" s="9">
        <v>53.3</v>
      </c>
      <c r="D96" s="9">
        <v>70</v>
      </c>
      <c r="E96" s="9">
        <f t="shared" si="1"/>
        <v>123.3</v>
      </c>
      <c r="G96" s="10"/>
    </row>
    <row r="97" spans="1:7" ht="22.5" customHeight="1">
      <c r="A97" s="8" t="s">
        <v>33</v>
      </c>
      <c r="B97" s="8" t="str">
        <f>"20200301220"</f>
        <v>20200301220</v>
      </c>
      <c r="C97" s="9">
        <v>45.1</v>
      </c>
      <c r="D97" s="9">
        <v>65.5</v>
      </c>
      <c r="E97" s="9">
        <f t="shared" si="1"/>
        <v>110.6</v>
      </c>
      <c r="G97" s="10"/>
    </row>
    <row r="98" spans="1:7" ht="22.5" customHeight="1">
      <c r="A98" s="8" t="s">
        <v>34</v>
      </c>
      <c r="B98" s="8" t="str">
        <f>"20200301228"</f>
        <v>20200301228</v>
      </c>
      <c r="C98" s="9">
        <v>71.9</v>
      </c>
      <c r="D98" s="9">
        <v>71.5</v>
      </c>
      <c r="E98" s="9">
        <f t="shared" si="1"/>
        <v>143.4</v>
      </c>
      <c r="G98" s="10"/>
    </row>
    <row r="99" spans="1:7" ht="22.5" customHeight="1">
      <c r="A99" s="8" t="s">
        <v>34</v>
      </c>
      <c r="B99" s="8" t="str">
        <f>"20200301230"</f>
        <v>20200301230</v>
      </c>
      <c r="C99" s="9">
        <v>66.4</v>
      </c>
      <c r="D99" s="9">
        <v>71.5</v>
      </c>
      <c r="E99" s="9">
        <f t="shared" si="1"/>
        <v>137.9</v>
      </c>
      <c r="G99" s="10"/>
    </row>
    <row r="100" spans="1:7" ht="22.5" customHeight="1">
      <c r="A100" s="8" t="s">
        <v>34</v>
      </c>
      <c r="B100" s="8" t="str">
        <f>"20200301229"</f>
        <v>20200301229</v>
      </c>
      <c r="C100" s="9">
        <v>55.4</v>
      </c>
      <c r="D100" s="9">
        <v>71.5</v>
      </c>
      <c r="E100" s="9">
        <f t="shared" si="1"/>
        <v>126.9</v>
      </c>
      <c r="G100" s="10"/>
    </row>
    <row r="101" spans="1:7" ht="22.5" customHeight="1">
      <c r="A101" s="8" t="s">
        <v>35</v>
      </c>
      <c r="B101" s="8" t="str">
        <f>"20200301307"</f>
        <v>20200301307</v>
      </c>
      <c r="C101" s="9">
        <v>67.7</v>
      </c>
      <c r="D101" s="9">
        <v>70</v>
      </c>
      <c r="E101" s="9">
        <f t="shared" si="1"/>
        <v>137.7</v>
      </c>
      <c r="G101" s="10"/>
    </row>
    <row r="102" spans="1:7" ht="22.5" customHeight="1">
      <c r="A102" s="8" t="s">
        <v>35</v>
      </c>
      <c r="B102" s="8" t="str">
        <f>"20200301310"</f>
        <v>20200301310</v>
      </c>
      <c r="C102" s="9">
        <v>64.6</v>
      </c>
      <c r="D102" s="9">
        <v>71.5</v>
      </c>
      <c r="E102" s="9">
        <f t="shared" si="1"/>
        <v>136.1</v>
      </c>
      <c r="G102" s="10"/>
    </row>
    <row r="103" spans="1:7" ht="22.5" customHeight="1">
      <c r="A103" s="8" t="s">
        <v>35</v>
      </c>
      <c r="B103" s="8" t="str">
        <f>"20200301303"</f>
        <v>20200301303</v>
      </c>
      <c r="C103" s="9">
        <v>62.5</v>
      </c>
      <c r="D103" s="9">
        <v>69</v>
      </c>
      <c r="E103" s="9">
        <f t="shared" si="1"/>
        <v>131.5</v>
      </c>
      <c r="G103" s="10"/>
    </row>
    <row r="104" spans="1:7" ht="22.5" customHeight="1">
      <c r="A104" s="8" t="s">
        <v>35</v>
      </c>
      <c r="B104" s="8" t="str">
        <f>"20200301305"</f>
        <v>20200301305</v>
      </c>
      <c r="C104" s="9">
        <v>62.5</v>
      </c>
      <c r="D104" s="9">
        <v>68</v>
      </c>
      <c r="E104" s="9">
        <f t="shared" si="1"/>
        <v>130.5</v>
      </c>
      <c r="G104" s="10"/>
    </row>
    <row r="105" spans="1:7" ht="22.5" customHeight="1">
      <c r="A105" s="8" t="s">
        <v>35</v>
      </c>
      <c r="B105" s="8" t="str">
        <f>"20200301311"</f>
        <v>20200301311</v>
      </c>
      <c r="C105" s="9">
        <v>50.9</v>
      </c>
      <c r="D105" s="9">
        <v>70</v>
      </c>
      <c r="E105" s="9">
        <f t="shared" si="1"/>
        <v>120.9</v>
      </c>
      <c r="G105" s="10"/>
    </row>
    <row r="106" spans="1:7" ht="22.5" customHeight="1">
      <c r="A106" s="8" t="s">
        <v>35</v>
      </c>
      <c r="B106" s="8" t="str">
        <f>"20200301308"</f>
        <v>20200301308</v>
      </c>
      <c r="C106" s="9">
        <v>38</v>
      </c>
      <c r="D106" s="9">
        <v>69</v>
      </c>
      <c r="E106" s="9">
        <f t="shared" si="1"/>
        <v>107</v>
      </c>
      <c r="G106" s="10"/>
    </row>
    <row r="107" spans="1:7" ht="22.5" customHeight="1">
      <c r="A107" s="8" t="s">
        <v>35</v>
      </c>
      <c r="B107" s="8" t="str">
        <f>"20200301302"</f>
        <v>20200301302</v>
      </c>
      <c r="C107" s="9">
        <v>34.3</v>
      </c>
      <c r="D107" s="9">
        <v>68.5</v>
      </c>
      <c r="E107" s="9">
        <f t="shared" si="1"/>
        <v>102.8</v>
      </c>
      <c r="G107" s="10"/>
    </row>
    <row r="108" spans="1:7" ht="22.5" customHeight="1">
      <c r="A108" s="8" t="s">
        <v>36</v>
      </c>
      <c r="B108" s="8" t="str">
        <f>"20200301315"</f>
        <v>20200301315</v>
      </c>
      <c r="C108" s="9">
        <v>70.2</v>
      </c>
      <c r="D108" s="9">
        <v>75</v>
      </c>
      <c r="E108" s="9">
        <f aca="true" t="shared" si="2" ref="E108:E157">C108+D108</f>
        <v>145.2</v>
      </c>
      <c r="G108" s="10"/>
    </row>
    <row r="109" spans="1:7" ht="22.5" customHeight="1">
      <c r="A109" s="8" t="s">
        <v>36</v>
      </c>
      <c r="B109" s="8" t="str">
        <f>"20200301312"</f>
        <v>20200301312</v>
      </c>
      <c r="C109" s="9">
        <v>58.9</v>
      </c>
      <c r="D109" s="9">
        <v>70</v>
      </c>
      <c r="E109" s="9">
        <f t="shared" si="2"/>
        <v>128.9</v>
      </c>
      <c r="G109" s="10"/>
    </row>
    <row r="110" spans="1:7" ht="22.5" customHeight="1">
      <c r="A110" s="8" t="s">
        <v>36</v>
      </c>
      <c r="B110" s="8" t="str">
        <f>"20200301314"</f>
        <v>20200301314</v>
      </c>
      <c r="C110" s="9">
        <v>65.3</v>
      </c>
      <c r="D110" s="9">
        <v>60</v>
      </c>
      <c r="E110" s="9">
        <f t="shared" si="2"/>
        <v>125.3</v>
      </c>
      <c r="G110" s="10"/>
    </row>
    <row r="111" spans="1:7" ht="22.5" customHeight="1">
      <c r="A111" s="8" t="s">
        <v>36</v>
      </c>
      <c r="B111" s="8" t="str">
        <f>"20200301313"</f>
        <v>20200301313</v>
      </c>
      <c r="C111" s="9">
        <v>42.6</v>
      </c>
      <c r="D111" s="9">
        <v>71.5</v>
      </c>
      <c r="E111" s="9">
        <f t="shared" si="2"/>
        <v>114.1</v>
      </c>
      <c r="G111" s="10"/>
    </row>
    <row r="112" spans="1:7" ht="22.5" customHeight="1">
      <c r="A112" s="8" t="s">
        <v>37</v>
      </c>
      <c r="B112" s="8" t="str">
        <f>"20200301322"</f>
        <v>20200301322</v>
      </c>
      <c r="C112" s="9">
        <v>66.3</v>
      </c>
      <c r="D112" s="9">
        <v>73</v>
      </c>
      <c r="E112" s="9">
        <f t="shared" si="2"/>
        <v>139.3</v>
      </c>
      <c r="G112" s="10"/>
    </row>
    <row r="113" spans="1:7" ht="22.5" customHeight="1">
      <c r="A113" s="8" t="s">
        <v>37</v>
      </c>
      <c r="B113" s="8" t="str">
        <f>"20200301316"</f>
        <v>20200301316</v>
      </c>
      <c r="C113" s="9">
        <v>67.3</v>
      </c>
      <c r="D113" s="9">
        <v>71</v>
      </c>
      <c r="E113" s="9">
        <f t="shared" si="2"/>
        <v>138.3</v>
      </c>
      <c r="G113" s="10"/>
    </row>
    <row r="114" spans="1:7" ht="22.5" customHeight="1">
      <c r="A114" s="8" t="s">
        <v>37</v>
      </c>
      <c r="B114" s="8" t="str">
        <f>"20200301323"</f>
        <v>20200301323</v>
      </c>
      <c r="C114" s="9">
        <v>67.4</v>
      </c>
      <c r="D114" s="9">
        <v>70.5</v>
      </c>
      <c r="E114" s="9">
        <f t="shared" si="2"/>
        <v>137.9</v>
      </c>
      <c r="G114" s="10"/>
    </row>
    <row r="115" spans="1:7" ht="22.5" customHeight="1">
      <c r="A115" s="8" t="s">
        <v>37</v>
      </c>
      <c r="B115" s="8" t="str">
        <f>"20200301321"</f>
        <v>20200301321</v>
      </c>
      <c r="C115" s="9">
        <v>66.6</v>
      </c>
      <c r="D115" s="9">
        <v>69.5</v>
      </c>
      <c r="E115" s="9">
        <f t="shared" si="2"/>
        <v>136.1</v>
      </c>
      <c r="G115" s="10"/>
    </row>
    <row r="116" spans="1:7" ht="22.5" customHeight="1">
      <c r="A116" s="8" t="s">
        <v>37</v>
      </c>
      <c r="B116" s="8" t="str">
        <f>"20200301318"</f>
        <v>20200301318</v>
      </c>
      <c r="C116" s="9">
        <v>62.7</v>
      </c>
      <c r="D116" s="9">
        <v>73</v>
      </c>
      <c r="E116" s="9">
        <f t="shared" si="2"/>
        <v>135.7</v>
      </c>
      <c r="G116" s="10"/>
    </row>
    <row r="117" spans="1:7" ht="22.5" customHeight="1">
      <c r="A117" s="8" t="s">
        <v>37</v>
      </c>
      <c r="B117" s="8" t="str">
        <f>"20200301324"</f>
        <v>20200301324</v>
      </c>
      <c r="C117" s="9">
        <v>58</v>
      </c>
      <c r="D117" s="9">
        <v>70.5</v>
      </c>
      <c r="E117" s="9">
        <f t="shared" si="2"/>
        <v>128.5</v>
      </c>
      <c r="G117" s="10"/>
    </row>
    <row r="118" spans="1:7" ht="22.5" customHeight="1">
      <c r="A118" s="8" t="s">
        <v>38</v>
      </c>
      <c r="B118" s="8" t="str">
        <f>"20200301326"</f>
        <v>20200301326</v>
      </c>
      <c r="C118" s="9">
        <v>63.2</v>
      </c>
      <c r="D118" s="9">
        <v>72.5</v>
      </c>
      <c r="E118" s="9">
        <f t="shared" si="2"/>
        <v>135.7</v>
      </c>
      <c r="G118" s="10"/>
    </row>
    <row r="119" spans="1:7" ht="22.5" customHeight="1">
      <c r="A119" s="8" t="s">
        <v>38</v>
      </c>
      <c r="B119" s="8" t="str">
        <f>"20200301325"</f>
        <v>20200301325</v>
      </c>
      <c r="C119" s="9">
        <v>49.9</v>
      </c>
      <c r="D119" s="9">
        <v>72</v>
      </c>
      <c r="E119" s="9">
        <f t="shared" si="2"/>
        <v>121.9</v>
      </c>
      <c r="G119" s="10"/>
    </row>
    <row r="120" spans="1:7" ht="22.5" customHeight="1">
      <c r="A120" s="8" t="s">
        <v>39</v>
      </c>
      <c r="B120" s="8" t="str">
        <f>"20200301330"</f>
        <v>20200301330</v>
      </c>
      <c r="C120" s="9">
        <v>58.7</v>
      </c>
      <c r="D120" s="9">
        <v>74</v>
      </c>
      <c r="E120" s="9">
        <f t="shared" si="2"/>
        <v>132.7</v>
      </c>
      <c r="G120" s="10"/>
    </row>
    <row r="121" spans="1:7" ht="22.5" customHeight="1">
      <c r="A121" s="8" t="s">
        <v>39</v>
      </c>
      <c r="B121" s="8" t="str">
        <f>"20200301328"</f>
        <v>20200301328</v>
      </c>
      <c r="C121" s="9">
        <v>48.8</v>
      </c>
      <c r="D121" s="9">
        <v>72</v>
      </c>
      <c r="E121" s="9">
        <f t="shared" si="2"/>
        <v>120.8</v>
      </c>
      <c r="G121" s="10"/>
    </row>
    <row r="122" spans="1:7" ht="22.5" customHeight="1">
      <c r="A122" s="9" t="s">
        <v>39</v>
      </c>
      <c r="B122" s="9" t="str">
        <f>"20200301329"</f>
        <v>20200301329</v>
      </c>
      <c r="C122" s="9">
        <v>44.1</v>
      </c>
      <c r="D122" s="9">
        <v>70</v>
      </c>
      <c r="E122" s="9">
        <f t="shared" si="2"/>
        <v>114.1</v>
      </c>
      <c r="G122" s="11"/>
    </row>
    <row r="123" spans="1:7" ht="22.5" customHeight="1">
      <c r="A123" s="8" t="s">
        <v>40</v>
      </c>
      <c r="B123" s="8" t="str">
        <f>"20200301410"</f>
        <v>20200301410</v>
      </c>
      <c r="C123" s="9">
        <v>66</v>
      </c>
      <c r="D123" s="9">
        <v>70.5</v>
      </c>
      <c r="E123" s="9">
        <f t="shared" si="2"/>
        <v>136.5</v>
      </c>
      <c r="G123" s="10"/>
    </row>
    <row r="124" spans="1:7" ht="22.5" customHeight="1">
      <c r="A124" s="8" t="s">
        <v>40</v>
      </c>
      <c r="B124" s="8" t="str">
        <f>"20200301405"</f>
        <v>20200301405</v>
      </c>
      <c r="C124" s="9">
        <v>65.1</v>
      </c>
      <c r="D124" s="9">
        <v>68.5</v>
      </c>
      <c r="E124" s="9">
        <f t="shared" si="2"/>
        <v>133.6</v>
      </c>
      <c r="G124" s="10"/>
    </row>
    <row r="125" spans="1:7" ht="22.5" customHeight="1">
      <c r="A125" s="8" t="s">
        <v>40</v>
      </c>
      <c r="B125" s="8" t="str">
        <f>"20200301411"</f>
        <v>20200301411</v>
      </c>
      <c r="C125" s="9">
        <v>50.2</v>
      </c>
      <c r="D125" s="9">
        <v>72</v>
      </c>
      <c r="E125" s="9">
        <f t="shared" si="2"/>
        <v>122.2</v>
      </c>
      <c r="G125" s="10"/>
    </row>
    <row r="126" spans="1:7" ht="22.5" customHeight="1">
      <c r="A126" s="8" t="s">
        <v>40</v>
      </c>
      <c r="B126" s="8" t="str">
        <f>"20200301406"</f>
        <v>20200301406</v>
      </c>
      <c r="C126" s="9">
        <v>46.5</v>
      </c>
      <c r="D126" s="9">
        <v>73.5</v>
      </c>
      <c r="E126" s="9">
        <f t="shared" si="2"/>
        <v>120</v>
      </c>
      <c r="G126" s="10"/>
    </row>
    <row r="127" spans="1:7" ht="22.5" customHeight="1">
      <c r="A127" s="8" t="s">
        <v>40</v>
      </c>
      <c r="B127" s="8" t="str">
        <f>"20200301407"</f>
        <v>20200301407</v>
      </c>
      <c r="C127" s="9">
        <v>53.3</v>
      </c>
      <c r="D127" s="9">
        <v>61.5</v>
      </c>
      <c r="E127" s="9">
        <f t="shared" si="2"/>
        <v>114.8</v>
      </c>
      <c r="G127" s="10"/>
    </row>
    <row r="128" spans="1:7" ht="22.5" customHeight="1">
      <c r="A128" s="8" t="s">
        <v>41</v>
      </c>
      <c r="B128" s="8" t="str">
        <f>"20200301423"</f>
        <v>20200301423</v>
      </c>
      <c r="C128" s="9">
        <v>73</v>
      </c>
      <c r="D128" s="9">
        <v>70</v>
      </c>
      <c r="E128" s="9">
        <f t="shared" si="2"/>
        <v>143</v>
      </c>
      <c r="G128" s="10"/>
    </row>
    <row r="129" spans="1:7" ht="22.5" customHeight="1">
      <c r="A129" s="8" t="s">
        <v>41</v>
      </c>
      <c r="B129" s="8" t="str">
        <f>"20200301417"</f>
        <v>20200301417</v>
      </c>
      <c r="C129" s="9">
        <v>65.2</v>
      </c>
      <c r="D129" s="9">
        <v>77</v>
      </c>
      <c r="E129" s="9">
        <f t="shared" si="2"/>
        <v>142.2</v>
      </c>
      <c r="G129" s="10"/>
    </row>
    <row r="130" spans="1:7" ht="22.5" customHeight="1">
      <c r="A130" s="8" t="s">
        <v>41</v>
      </c>
      <c r="B130" s="8" t="str">
        <f>"20200301415"</f>
        <v>20200301415</v>
      </c>
      <c r="C130" s="9">
        <v>71.4</v>
      </c>
      <c r="D130" s="9">
        <v>69</v>
      </c>
      <c r="E130" s="9">
        <f t="shared" si="2"/>
        <v>140.4</v>
      </c>
      <c r="G130" s="10"/>
    </row>
    <row r="131" spans="1:7" ht="22.5" customHeight="1">
      <c r="A131" s="8" t="s">
        <v>41</v>
      </c>
      <c r="B131" s="8" t="str">
        <f>"20200301414"</f>
        <v>20200301414</v>
      </c>
      <c r="C131" s="9">
        <v>67.4</v>
      </c>
      <c r="D131" s="9">
        <v>72.5</v>
      </c>
      <c r="E131" s="9">
        <f t="shared" si="2"/>
        <v>139.9</v>
      </c>
      <c r="G131" s="10"/>
    </row>
    <row r="132" spans="1:7" ht="22.5" customHeight="1">
      <c r="A132" s="8" t="s">
        <v>41</v>
      </c>
      <c r="B132" s="8" t="str">
        <f>"20200301416"</f>
        <v>20200301416</v>
      </c>
      <c r="C132" s="9">
        <v>64.8</v>
      </c>
      <c r="D132" s="9">
        <v>72.5</v>
      </c>
      <c r="E132" s="9">
        <f t="shared" si="2"/>
        <v>137.3</v>
      </c>
      <c r="G132" s="10"/>
    </row>
    <row r="133" spans="1:7" ht="22.5" customHeight="1">
      <c r="A133" s="8" t="s">
        <v>41</v>
      </c>
      <c r="B133" s="8" t="str">
        <f>"20200301418"</f>
        <v>20200301418</v>
      </c>
      <c r="C133" s="9">
        <v>63.7</v>
      </c>
      <c r="D133" s="9">
        <v>72.5</v>
      </c>
      <c r="E133" s="9">
        <f t="shared" si="2"/>
        <v>136.2</v>
      </c>
      <c r="G133" s="10"/>
    </row>
    <row r="134" spans="1:7" ht="22.5" customHeight="1">
      <c r="A134" s="8" t="s">
        <v>42</v>
      </c>
      <c r="B134" s="8" t="str">
        <f>"20200301430"</f>
        <v>20200301430</v>
      </c>
      <c r="C134" s="9">
        <v>64.2</v>
      </c>
      <c r="D134" s="9">
        <v>77.5</v>
      </c>
      <c r="E134" s="9">
        <f t="shared" si="2"/>
        <v>141.7</v>
      </c>
      <c r="G134" s="10"/>
    </row>
    <row r="135" spans="1:7" ht="22.5" customHeight="1">
      <c r="A135" s="8" t="s">
        <v>42</v>
      </c>
      <c r="B135" s="8" t="str">
        <f>"20200301501"</f>
        <v>20200301501</v>
      </c>
      <c r="C135" s="9">
        <v>61.3</v>
      </c>
      <c r="D135" s="9">
        <v>72</v>
      </c>
      <c r="E135" s="9">
        <f t="shared" si="2"/>
        <v>133.3</v>
      </c>
      <c r="G135" s="10"/>
    </row>
    <row r="136" spans="1:7" ht="22.5" customHeight="1">
      <c r="A136" s="8" t="s">
        <v>42</v>
      </c>
      <c r="B136" s="8" t="str">
        <f>"20200301427"</f>
        <v>20200301427</v>
      </c>
      <c r="C136" s="9">
        <v>61.5</v>
      </c>
      <c r="D136" s="9">
        <v>70.5</v>
      </c>
      <c r="E136" s="9">
        <f t="shared" si="2"/>
        <v>132</v>
      </c>
      <c r="G136" s="10"/>
    </row>
    <row r="137" spans="1:7" ht="22.5" customHeight="1">
      <c r="A137" s="8" t="s">
        <v>43</v>
      </c>
      <c r="B137" s="8" t="str">
        <f>"20200301602"</f>
        <v>20200301602</v>
      </c>
      <c r="C137" s="9">
        <v>69.6</v>
      </c>
      <c r="D137" s="9">
        <v>72.5</v>
      </c>
      <c r="E137" s="9">
        <f t="shared" si="2"/>
        <v>142.1</v>
      </c>
      <c r="G137" s="10"/>
    </row>
    <row r="138" spans="1:7" ht="22.5" customHeight="1">
      <c r="A138" s="8" t="s">
        <v>43</v>
      </c>
      <c r="B138" s="8" t="str">
        <f>"20200301505"</f>
        <v>20200301505</v>
      </c>
      <c r="C138" s="9">
        <v>67</v>
      </c>
      <c r="D138" s="9">
        <v>75</v>
      </c>
      <c r="E138" s="9">
        <f t="shared" si="2"/>
        <v>142</v>
      </c>
      <c r="G138" s="10"/>
    </row>
    <row r="139" spans="1:7" ht="22.5" customHeight="1">
      <c r="A139" s="8" t="s">
        <v>43</v>
      </c>
      <c r="B139" s="8" t="str">
        <f>"20200301624"</f>
        <v>20200301624</v>
      </c>
      <c r="C139" s="9">
        <v>68.8</v>
      </c>
      <c r="D139" s="9">
        <v>71.5</v>
      </c>
      <c r="E139" s="9">
        <f t="shared" si="2"/>
        <v>140.3</v>
      </c>
      <c r="G139" s="10"/>
    </row>
    <row r="140" spans="1:7" ht="22.5" customHeight="1">
      <c r="A140" s="8" t="s">
        <v>44</v>
      </c>
      <c r="B140" s="8" t="str">
        <f>"20200301711"</f>
        <v>20200301711</v>
      </c>
      <c r="C140" s="9">
        <v>71.5</v>
      </c>
      <c r="D140" s="9">
        <v>71.5</v>
      </c>
      <c r="E140" s="9">
        <f t="shared" si="2"/>
        <v>143</v>
      </c>
      <c r="G140" s="10"/>
    </row>
    <row r="141" spans="1:7" ht="22.5" customHeight="1">
      <c r="A141" s="8" t="s">
        <v>44</v>
      </c>
      <c r="B141" s="8" t="str">
        <f>"20200301706"</f>
        <v>20200301706</v>
      </c>
      <c r="C141" s="9">
        <v>62.1</v>
      </c>
      <c r="D141" s="9">
        <v>73</v>
      </c>
      <c r="E141" s="9">
        <f t="shared" si="2"/>
        <v>135.1</v>
      </c>
      <c r="G141" s="10"/>
    </row>
    <row r="142" spans="1:7" ht="22.5" customHeight="1">
      <c r="A142" s="8" t="s">
        <v>44</v>
      </c>
      <c r="B142" s="8" t="str">
        <f>"20200301626"</f>
        <v>20200301626</v>
      </c>
      <c r="C142" s="9">
        <v>64.3</v>
      </c>
      <c r="D142" s="9">
        <v>67</v>
      </c>
      <c r="E142" s="9">
        <f t="shared" si="2"/>
        <v>131.3</v>
      </c>
      <c r="G142" s="10"/>
    </row>
    <row r="143" spans="1:7" ht="22.5" customHeight="1">
      <c r="A143" s="8" t="s">
        <v>45</v>
      </c>
      <c r="B143" s="8" t="str">
        <f>"20200301715"</f>
        <v>20200301715</v>
      </c>
      <c r="C143" s="9">
        <v>63.4</v>
      </c>
      <c r="D143" s="9">
        <v>75</v>
      </c>
      <c r="E143" s="9">
        <f t="shared" si="2"/>
        <v>138.4</v>
      </c>
      <c r="G143" s="10"/>
    </row>
    <row r="144" spans="1:7" ht="22.5" customHeight="1">
      <c r="A144" s="8" t="s">
        <v>45</v>
      </c>
      <c r="B144" s="8" t="str">
        <f>"20200301714"</f>
        <v>20200301714</v>
      </c>
      <c r="C144" s="9">
        <v>62.8</v>
      </c>
      <c r="D144" s="9">
        <v>71</v>
      </c>
      <c r="E144" s="9">
        <f t="shared" si="2"/>
        <v>133.8</v>
      </c>
      <c r="G144" s="10"/>
    </row>
    <row r="145" spans="1:7" ht="22.5" customHeight="1">
      <c r="A145" s="8" t="s">
        <v>45</v>
      </c>
      <c r="B145" s="8" t="str">
        <f>"20200301713"</f>
        <v>20200301713</v>
      </c>
      <c r="C145" s="9">
        <v>58.2</v>
      </c>
      <c r="D145" s="9">
        <v>71</v>
      </c>
      <c r="E145" s="9">
        <f t="shared" si="2"/>
        <v>129.2</v>
      </c>
      <c r="G145" s="10"/>
    </row>
    <row r="146" spans="1:7" ht="22.5" customHeight="1">
      <c r="A146" s="8" t="s">
        <v>45</v>
      </c>
      <c r="B146" s="8" t="str">
        <f>"20200301716"</f>
        <v>20200301716</v>
      </c>
      <c r="C146" s="9">
        <v>56.1</v>
      </c>
      <c r="D146" s="9">
        <v>69.5</v>
      </c>
      <c r="E146" s="9">
        <f t="shared" si="2"/>
        <v>125.6</v>
      </c>
      <c r="G146" s="10"/>
    </row>
    <row r="147" spans="1:7" ht="22.5" customHeight="1">
      <c r="A147" s="8" t="s">
        <v>46</v>
      </c>
      <c r="B147" s="8" t="str">
        <f>"20200301720"</f>
        <v>20200301720</v>
      </c>
      <c r="C147" s="9">
        <v>66.8</v>
      </c>
      <c r="D147" s="9">
        <v>69</v>
      </c>
      <c r="E147" s="9">
        <f t="shared" si="2"/>
        <v>135.8</v>
      </c>
      <c r="G147" s="10"/>
    </row>
    <row r="148" spans="1:7" ht="22.5" customHeight="1">
      <c r="A148" s="8" t="s">
        <v>46</v>
      </c>
      <c r="B148" s="8" t="str">
        <f>"20200301719"</f>
        <v>20200301719</v>
      </c>
      <c r="C148" s="9">
        <v>58.8</v>
      </c>
      <c r="D148" s="9">
        <v>67.5</v>
      </c>
      <c r="E148" s="9">
        <f t="shared" si="2"/>
        <v>126.3</v>
      </c>
      <c r="G148" s="10"/>
    </row>
    <row r="149" spans="1:7" ht="22.5" customHeight="1">
      <c r="A149" s="8" t="s">
        <v>47</v>
      </c>
      <c r="B149" s="8" t="str">
        <f>"20200301804"</f>
        <v>20200301804</v>
      </c>
      <c r="C149" s="9">
        <v>65.7</v>
      </c>
      <c r="D149" s="9">
        <v>73</v>
      </c>
      <c r="E149" s="9">
        <f t="shared" si="2"/>
        <v>138.7</v>
      </c>
      <c r="G149" s="10"/>
    </row>
    <row r="150" spans="1:7" ht="22.5" customHeight="1">
      <c r="A150" s="8" t="s">
        <v>47</v>
      </c>
      <c r="B150" s="8" t="str">
        <f>"20200301730"</f>
        <v>20200301730</v>
      </c>
      <c r="C150" s="9">
        <v>67.8</v>
      </c>
      <c r="D150" s="9">
        <v>68.5</v>
      </c>
      <c r="E150" s="9">
        <f t="shared" si="2"/>
        <v>136.3</v>
      </c>
      <c r="G150" s="10"/>
    </row>
    <row r="151" spans="1:7" ht="22.5" customHeight="1">
      <c r="A151" s="8" t="s">
        <v>47</v>
      </c>
      <c r="B151" s="8" t="str">
        <f>"20200301805"</f>
        <v>20200301805</v>
      </c>
      <c r="C151" s="9">
        <v>64.1</v>
      </c>
      <c r="D151" s="9">
        <v>66</v>
      </c>
      <c r="E151" s="9">
        <f t="shared" si="2"/>
        <v>130.1</v>
      </c>
      <c r="G151" s="10"/>
    </row>
    <row r="152" spans="1:7" ht="22.5" customHeight="1">
      <c r="A152" s="8" t="s">
        <v>48</v>
      </c>
      <c r="B152" s="8" t="str">
        <f>"20200301809"</f>
        <v>20200301809</v>
      </c>
      <c r="C152" s="9">
        <v>60.6</v>
      </c>
      <c r="D152" s="9">
        <v>73</v>
      </c>
      <c r="E152" s="9">
        <f t="shared" si="2"/>
        <v>133.6</v>
      </c>
      <c r="G152" s="10"/>
    </row>
    <row r="153" spans="1:7" ht="22.5" customHeight="1">
      <c r="A153" s="8" t="s">
        <v>48</v>
      </c>
      <c r="B153" s="8" t="str">
        <f>"20200301808"</f>
        <v>20200301808</v>
      </c>
      <c r="C153" s="9">
        <v>56</v>
      </c>
      <c r="D153" s="9">
        <v>72</v>
      </c>
      <c r="E153" s="9">
        <f t="shared" si="2"/>
        <v>128</v>
      </c>
      <c r="G153" s="10"/>
    </row>
    <row r="154" spans="1:7" ht="22.5" customHeight="1">
      <c r="A154" s="8" t="s">
        <v>48</v>
      </c>
      <c r="B154" s="8" t="str">
        <f>"20200301807"</f>
        <v>20200301807</v>
      </c>
      <c r="C154" s="9">
        <v>47.3</v>
      </c>
      <c r="D154" s="9">
        <v>64.5</v>
      </c>
      <c r="E154" s="9">
        <f t="shared" si="2"/>
        <v>111.8</v>
      </c>
      <c r="G154" s="10"/>
    </row>
    <row r="155" spans="1:7" ht="22.5" customHeight="1">
      <c r="A155" s="8" t="s">
        <v>49</v>
      </c>
      <c r="B155" s="8" t="str">
        <f>"20200301810"</f>
        <v>20200301810</v>
      </c>
      <c r="C155" s="9">
        <v>56.8</v>
      </c>
      <c r="D155" s="9">
        <v>75.5</v>
      </c>
      <c r="E155" s="9">
        <f t="shared" si="2"/>
        <v>132.3</v>
      </c>
      <c r="G155" s="10"/>
    </row>
    <row r="156" spans="1:7" ht="22.5" customHeight="1">
      <c r="A156" s="8" t="s">
        <v>49</v>
      </c>
      <c r="B156" s="8" t="str">
        <f>"20200301811"</f>
        <v>20200301811</v>
      </c>
      <c r="C156" s="9">
        <v>55.4</v>
      </c>
      <c r="D156" s="9">
        <v>72</v>
      </c>
      <c r="E156" s="9">
        <f t="shared" si="2"/>
        <v>127.4</v>
      </c>
      <c r="G156" s="10"/>
    </row>
    <row r="157" spans="1:7" ht="22.5" customHeight="1">
      <c r="A157" s="8" t="s">
        <v>50</v>
      </c>
      <c r="B157" s="8" t="str">
        <f>"20200301813"</f>
        <v>20200301813</v>
      </c>
      <c r="C157" s="9">
        <v>40.9</v>
      </c>
      <c r="D157" s="9">
        <v>65</v>
      </c>
      <c r="E157" s="9">
        <f t="shared" si="2"/>
        <v>105.9</v>
      </c>
      <c r="G157" s="10"/>
    </row>
    <row r="158" spans="1:7" ht="22.5" customHeight="1">
      <c r="A158" s="8" t="s">
        <v>51</v>
      </c>
      <c r="B158" s="8" t="str">
        <f>"20200301906"</f>
        <v>20200301906</v>
      </c>
      <c r="C158" s="9">
        <v>67.8</v>
      </c>
      <c r="D158" s="9">
        <v>74.5</v>
      </c>
      <c r="E158" s="9">
        <f aca="true" t="shared" si="3" ref="E158:E181">C158+D158</f>
        <v>142.3</v>
      </c>
      <c r="G158" s="10"/>
    </row>
    <row r="159" spans="1:7" ht="22.5" customHeight="1">
      <c r="A159" s="8" t="s">
        <v>51</v>
      </c>
      <c r="B159" s="8" t="str">
        <f>"20200301822"</f>
        <v>20200301822</v>
      </c>
      <c r="C159" s="9">
        <v>69.8</v>
      </c>
      <c r="D159" s="9">
        <v>69</v>
      </c>
      <c r="E159" s="9">
        <f t="shared" si="3"/>
        <v>138.8</v>
      </c>
      <c r="G159" s="10"/>
    </row>
    <row r="160" spans="1:7" ht="22.5" customHeight="1">
      <c r="A160" s="8" t="s">
        <v>51</v>
      </c>
      <c r="B160" s="8" t="str">
        <f>"20200301823"</f>
        <v>20200301823</v>
      </c>
      <c r="C160" s="9">
        <v>68.2</v>
      </c>
      <c r="D160" s="9">
        <v>70</v>
      </c>
      <c r="E160" s="9">
        <f t="shared" si="3"/>
        <v>138.2</v>
      </c>
      <c r="G160" s="10"/>
    </row>
    <row r="161" spans="1:7" ht="22.5" customHeight="1">
      <c r="A161" s="8" t="s">
        <v>51</v>
      </c>
      <c r="B161" s="8" t="str">
        <f>"20200301910"</f>
        <v>20200301910</v>
      </c>
      <c r="C161" s="9">
        <v>64.6</v>
      </c>
      <c r="D161" s="9">
        <v>73.5</v>
      </c>
      <c r="E161" s="9">
        <f t="shared" si="3"/>
        <v>138.1</v>
      </c>
      <c r="G161" s="10"/>
    </row>
    <row r="162" spans="1:7" ht="22.5" customHeight="1">
      <c r="A162" s="8" t="s">
        <v>51</v>
      </c>
      <c r="B162" s="8" t="str">
        <f>"20200301915"</f>
        <v>20200301915</v>
      </c>
      <c r="C162" s="9">
        <v>66.3</v>
      </c>
      <c r="D162" s="9">
        <v>68.5</v>
      </c>
      <c r="E162" s="9">
        <f t="shared" si="3"/>
        <v>134.8</v>
      </c>
      <c r="G162" s="10"/>
    </row>
    <row r="163" spans="1:7" ht="22.5" customHeight="1">
      <c r="A163" s="8" t="s">
        <v>51</v>
      </c>
      <c r="B163" s="8" t="str">
        <f>"20200301830"</f>
        <v>20200301830</v>
      </c>
      <c r="C163" s="9">
        <v>63.9</v>
      </c>
      <c r="D163" s="9">
        <v>69.5</v>
      </c>
      <c r="E163" s="9">
        <f t="shared" si="3"/>
        <v>133.4</v>
      </c>
      <c r="G163" s="10"/>
    </row>
    <row r="164" spans="1:7" ht="22.5" customHeight="1">
      <c r="A164" s="8" t="s">
        <v>52</v>
      </c>
      <c r="B164" s="8" t="str">
        <f>"20200301930"</f>
        <v>20200301930</v>
      </c>
      <c r="C164" s="9">
        <v>82</v>
      </c>
      <c r="D164" s="9">
        <v>71.5</v>
      </c>
      <c r="E164" s="9">
        <f t="shared" si="3"/>
        <v>153.5</v>
      </c>
      <c r="G164" s="10"/>
    </row>
    <row r="165" spans="1:7" ht="22.5" customHeight="1">
      <c r="A165" s="8" t="s">
        <v>52</v>
      </c>
      <c r="B165" s="8" t="str">
        <f>"20200301927"</f>
        <v>20200301927</v>
      </c>
      <c r="C165" s="9">
        <v>79.9</v>
      </c>
      <c r="D165" s="9">
        <v>73.5</v>
      </c>
      <c r="E165" s="9">
        <f t="shared" si="3"/>
        <v>153.4</v>
      </c>
      <c r="G165" s="10"/>
    </row>
    <row r="166" spans="1:7" ht="22.5" customHeight="1">
      <c r="A166" s="8" t="s">
        <v>52</v>
      </c>
      <c r="B166" s="8" t="str">
        <f>"20200301929"</f>
        <v>20200301929</v>
      </c>
      <c r="C166" s="9">
        <v>75.7</v>
      </c>
      <c r="D166" s="9">
        <v>73.5</v>
      </c>
      <c r="E166" s="9">
        <f t="shared" si="3"/>
        <v>149.2</v>
      </c>
      <c r="G166" s="10"/>
    </row>
    <row r="167" spans="1:7" ht="22.5" customHeight="1">
      <c r="A167" s="8" t="s">
        <v>52</v>
      </c>
      <c r="B167" s="8" t="str">
        <f>"20200301923"</f>
        <v>20200301923</v>
      </c>
      <c r="C167" s="9">
        <v>65.7</v>
      </c>
      <c r="D167" s="9">
        <v>71</v>
      </c>
      <c r="E167" s="9">
        <f t="shared" si="3"/>
        <v>136.7</v>
      </c>
      <c r="G167" s="10"/>
    </row>
    <row r="168" spans="1:7" ht="22.5" customHeight="1">
      <c r="A168" s="8" t="s">
        <v>52</v>
      </c>
      <c r="B168" s="8" t="str">
        <f>"20200301925"</f>
        <v>20200301925</v>
      </c>
      <c r="C168" s="9">
        <v>64.9</v>
      </c>
      <c r="D168" s="9">
        <v>69.5</v>
      </c>
      <c r="E168" s="9">
        <f t="shared" si="3"/>
        <v>134.4</v>
      </c>
      <c r="G168" s="10"/>
    </row>
    <row r="169" spans="1:7" ht="22.5" customHeight="1">
      <c r="A169" s="9" t="s">
        <v>52</v>
      </c>
      <c r="B169" s="9" t="str">
        <f>"20200302001"</f>
        <v>20200302001</v>
      </c>
      <c r="C169" s="9">
        <v>58.7</v>
      </c>
      <c r="D169" s="9">
        <v>73</v>
      </c>
      <c r="E169" s="9">
        <f t="shared" si="3"/>
        <v>131.7</v>
      </c>
      <c r="G169" s="11"/>
    </row>
    <row r="170" spans="1:7" ht="22.5" customHeight="1">
      <c r="A170" s="8" t="s">
        <v>53</v>
      </c>
      <c r="B170" s="8" t="str">
        <f>"20200302007"</f>
        <v>20200302007</v>
      </c>
      <c r="C170" s="9">
        <v>72.6</v>
      </c>
      <c r="D170" s="9">
        <v>71</v>
      </c>
      <c r="E170" s="9">
        <f t="shared" si="3"/>
        <v>143.6</v>
      </c>
      <c r="G170" s="10"/>
    </row>
    <row r="171" spans="1:7" ht="22.5" customHeight="1">
      <c r="A171" s="8" t="s">
        <v>53</v>
      </c>
      <c r="B171" s="8" t="str">
        <f>"20200302010"</f>
        <v>20200302010</v>
      </c>
      <c r="C171" s="9">
        <v>60.3</v>
      </c>
      <c r="D171" s="9">
        <v>72.5</v>
      </c>
      <c r="E171" s="9">
        <f t="shared" si="3"/>
        <v>132.8</v>
      </c>
      <c r="G171" s="10"/>
    </row>
    <row r="172" spans="1:7" ht="22.5" customHeight="1">
      <c r="A172" s="8" t="s">
        <v>53</v>
      </c>
      <c r="B172" s="8" t="str">
        <f>"20200302008"</f>
        <v>20200302008</v>
      </c>
      <c r="C172" s="9">
        <v>58.4</v>
      </c>
      <c r="D172" s="9">
        <v>71</v>
      </c>
      <c r="E172" s="9">
        <f t="shared" si="3"/>
        <v>129.4</v>
      </c>
      <c r="G172" s="10"/>
    </row>
    <row r="173" spans="1:7" ht="22.5" customHeight="1">
      <c r="A173" s="8" t="s">
        <v>54</v>
      </c>
      <c r="B173" s="8" t="str">
        <f>"20200302016"</f>
        <v>20200302016</v>
      </c>
      <c r="C173" s="9">
        <v>62.7</v>
      </c>
      <c r="D173" s="9">
        <v>74</v>
      </c>
      <c r="E173" s="9">
        <f t="shared" si="3"/>
        <v>136.7</v>
      </c>
      <c r="G173" s="10"/>
    </row>
    <row r="174" spans="1:7" ht="22.5" customHeight="1">
      <c r="A174" s="8" t="s">
        <v>54</v>
      </c>
      <c r="B174" s="8" t="str">
        <f>"20200302018"</f>
        <v>20200302018</v>
      </c>
      <c r="C174" s="9">
        <v>60.8</v>
      </c>
      <c r="D174" s="9">
        <v>73</v>
      </c>
      <c r="E174" s="9">
        <f t="shared" si="3"/>
        <v>133.8</v>
      </c>
      <c r="G174" s="10"/>
    </row>
    <row r="175" spans="1:7" ht="22.5" customHeight="1">
      <c r="A175" s="8" t="s">
        <v>54</v>
      </c>
      <c r="B175" s="8" t="str">
        <f>"20200302020"</f>
        <v>20200302020</v>
      </c>
      <c r="C175" s="9">
        <v>59.6</v>
      </c>
      <c r="D175" s="9">
        <v>73</v>
      </c>
      <c r="E175" s="9">
        <f t="shared" si="3"/>
        <v>132.6</v>
      </c>
      <c r="G175" s="10"/>
    </row>
    <row r="176" spans="1:7" ht="22.5" customHeight="1">
      <c r="A176" s="8" t="s">
        <v>55</v>
      </c>
      <c r="B176" s="8" t="str">
        <f>"20200302024"</f>
        <v>20200302024</v>
      </c>
      <c r="C176" s="9">
        <v>62</v>
      </c>
      <c r="D176" s="9">
        <v>69</v>
      </c>
      <c r="E176" s="9">
        <f t="shared" si="3"/>
        <v>131</v>
      </c>
      <c r="G176" s="10"/>
    </row>
    <row r="177" spans="1:7" ht="22.5" customHeight="1">
      <c r="A177" s="8" t="s">
        <v>55</v>
      </c>
      <c r="B177" s="8" t="str">
        <f>"20200302026"</f>
        <v>20200302026</v>
      </c>
      <c r="C177" s="9">
        <v>57.3</v>
      </c>
      <c r="D177" s="9">
        <v>71.5</v>
      </c>
      <c r="E177" s="9">
        <f t="shared" si="3"/>
        <v>128.8</v>
      </c>
      <c r="G177" s="10"/>
    </row>
    <row r="178" spans="1:7" ht="22.5" customHeight="1">
      <c r="A178" s="8" t="s">
        <v>55</v>
      </c>
      <c r="B178" s="8" t="str">
        <f>"20200302025"</f>
        <v>20200302025</v>
      </c>
      <c r="C178" s="9">
        <v>52.9</v>
      </c>
      <c r="D178" s="9">
        <v>66.5</v>
      </c>
      <c r="E178" s="9">
        <f t="shared" si="3"/>
        <v>119.4</v>
      </c>
      <c r="G178" s="10"/>
    </row>
    <row r="179" spans="1:7" ht="22.5" customHeight="1">
      <c r="A179" s="8" t="s">
        <v>56</v>
      </c>
      <c r="B179" s="8" t="str">
        <f>"20200302108"</f>
        <v>20200302108</v>
      </c>
      <c r="C179" s="9">
        <v>74.7</v>
      </c>
      <c r="D179" s="9">
        <v>72.5</v>
      </c>
      <c r="E179" s="9">
        <f t="shared" si="3"/>
        <v>147.2</v>
      </c>
      <c r="G179" s="10"/>
    </row>
    <row r="180" spans="1:7" ht="22.5" customHeight="1">
      <c r="A180" s="8" t="s">
        <v>56</v>
      </c>
      <c r="B180" s="8" t="str">
        <f>"20200302109"</f>
        <v>20200302109</v>
      </c>
      <c r="C180" s="9">
        <v>69.4</v>
      </c>
      <c r="D180" s="9">
        <v>72.5</v>
      </c>
      <c r="E180" s="9">
        <f t="shared" si="3"/>
        <v>141.9</v>
      </c>
      <c r="G180" s="10"/>
    </row>
    <row r="181" spans="1:7" ht="22.5" customHeight="1">
      <c r="A181" s="8" t="s">
        <v>56</v>
      </c>
      <c r="B181" s="8" t="str">
        <f>"20200302105"</f>
        <v>20200302105</v>
      </c>
      <c r="C181" s="9">
        <v>67.7</v>
      </c>
      <c r="D181" s="9">
        <v>71.5</v>
      </c>
      <c r="E181" s="9">
        <f t="shared" si="3"/>
        <v>139.2</v>
      </c>
      <c r="G181" s="10"/>
    </row>
    <row r="182" spans="1:7" ht="22.5" customHeight="1">
      <c r="A182" s="8" t="s">
        <v>57</v>
      </c>
      <c r="B182" s="8" t="str">
        <f>"20200302123"</f>
        <v>20200302123</v>
      </c>
      <c r="C182" s="9">
        <v>74.2</v>
      </c>
      <c r="D182" s="9">
        <v>68.5</v>
      </c>
      <c r="E182" s="9">
        <f aca="true" t="shared" si="4" ref="E182:E190">C182+D182</f>
        <v>142.7</v>
      </c>
      <c r="G182" s="10"/>
    </row>
    <row r="183" spans="1:7" ht="22.5" customHeight="1">
      <c r="A183" s="8" t="s">
        <v>57</v>
      </c>
      <c r="B183" s="8" t="str">
        <f>"20200302213"</f>
        <v>20200302213</v>
      </c>
      <c r="C183" s="9">
        <v>69.5</v>
      </c>
      <c r="D183" s="9">
        <v>71</v>
      </c>
      <c r="E183" s="9">
        <f t="shared" si="4"/>
        <v>140.5</v>
      </c>
      <c r="G183" s="10"/>
    </row>
    <row r="184" spans="1:7" ht="22.5" customHeight="1">
      <c r="A184" s="8" t="s">
        <v>57</v>
      </c>
      <c r="B184" s="8" t="str">
        <f>"20200302122"</f>
        <v>20200302122</v>
      </c>
      <c r="C184" s="9">
        <v>67.6</v>
      </c>
      <c r="D184" s="9">
        <v>72.5</v>
      </c>
      <c r="E184" s="9">
        <f t="shared" si="4"/>
        <v>140.1</v>
      </c>
      <c r="G184" s="10"/>
    </row>
    <row r="185" spans="1:7" ht="22.5" customHeight="1">
      <c r="A185" s="8" t="s">
        <v>57</v>
      </c>
      <c r="B185" s="8" t="str">
        <f>"20200302127"</f>
        <v>20200302127</v>
      </c>
      <c r="C185" s="9">
        <v>65.6</v>
      </c>
      <c r="D185" s="9">
        <v>74</v>
      </c>
      <c r="E185" s="9">
        <f t="shared" si="4"/>
        <v>139.6</v>
      </c>
      <c r="G185" s="10"/>
    </row>
    <row r="186" spans="1:7" ht="22.5" customHeight="1">
      <c r="A186" s="8" t="s">
        <v>57</v>
      </c>
      <c r="B186" s="8" t="str">
        <f>"20200302210"</f>
        <v>20200302210</v>
      </c>
      <c r="C186" s="9">
        <v>64.9</v>
      </c>
      <c r="D186" s="9">
        <v>74.5</v>
      </c>
      <c r="E186" s="9">
        <f t="shared" si="4"/>
        <v>139.4</v>
      </c>
      <c r="G186" s="10"/>
    </row>
    <row r="187" spans="1:7" ht="22.5" customHeight="1">
      <c r="A187" s="8" t="s">
        <v>57</v>
      </c>
      <c r="B187" s="8" t="str">
        <f>"20200302206"</f>
        <v>20200302206</v>
      </c>
      <c r="C187" s="9">
        <v>68.2</v>
      </c>
      <c r="D187" s="9">
        <v>71</v>
      </c>
      <c r="E187" s="9">
        <f t="shared" si="4"/>
        <v>139.2</v>
      </c>
      <c r="G187" s="10"/>
    </row>
    <row r="188" spans="1:7" ht="22.5" customHeight="1">
      <c r="A188" s="8" t="s">
        <v>57</v>
      </c>
      <c r="B188" s="8" t="str">
        <f>"20200302207"</f>
        <v>20200302207</v>
      </c>
      <c r="C188" s="9">
        <v>64.7</v>
      </c>
      <c r="D188" s="9">
        <v>72</v>
      </c>
      <c r="E188" s="9">
        <f t="shared" si="4"/>
        <v>136.7</v>
      </c>
      <c r="G188" s="10"/>
    </row>
    <row r="189" spans="1:7" ht="22.5" customHeight="1">
      <c r="A189" s="8" t="s">
        <v>57</v>
      </c>
      <c r="B189" s="8" t="str">
        <f>"20200302214"</f>
        <v>20200302214</v>
      </c>
      <c r="C189" s="9">
        <v>60.2</v>
      </c>
      <c r="D189" s="9">
        <v>74.5</v>
      </c>
      <c r="E189" s="9">
        <f t="shared" si="4"/>
        <v>134.7</v>
      </c>
      <c r="G189" s="10"/>
    </row>
    <row r="190" spans="1:7" ht="22.5" customHeight="1">
      <c r="A190" s="8" t="s">
        <v>57</v>
      </c>
      <c r="B190" s="8" t="str">
        <f>"20200302128"</f>
        <v>20200302128</v>
      </c>
      <c r="C190" s="9">
        <v>64</v>
      </c>
      <c r="D190" s="9">
        <v>69</v>
      </c>
      <c r="E190" s="9">
        <f t="shared" si="4"/>
        <v>133</v>
      </c>
      <c r="G190" s="10"/>
    </row>
    <row r="191" spans="1:7" ht="22.5" customHeight="1">
      <c r="A191" s="8" t="s">
        <v>58</v>
      </c>
      <c r="B191" s="8" t="str">
        <f>"20200302516"</f>
        <v>20200302516</v>
      </c>
      <c r="C191" s="9">
        <v>80.4</v>
      </c>
      <c r="D191" s="9">
        <v>74.5</v>
      </c>
      <c r="E191" s="9">
        <f aca="true" t="shared" si="5" ref="E191:E202">C191+D191</f>
        <v>154.9</v>
      </c>
      <c r="G191" s="10"/>
    </row>
    <row r="192" spans="1:7" ht="22.5" customHeight="1">
      <c r="A192" s="8" t="s">
        <v>58</v>
      </c>
      <c r="B192" s="8" t="str">
        <f>"20200302722"</f>
        <v>20200302722</v>
      </c>
      <c r="C192" s="9">
        <v>76.5</v>
      </c>
      <c r="D192" s="9">
        <v>73.5</v>
      </c>
      <c r="E192" s="9">
        <f t="shared" si="5"/>
        <v>150</v>
      </c>
      <c r="G192" s="10"/>
    </row>
    <row r="193" spans="1:7" ht="22.5" customHeight="1">
      <c r="A193" s="8" t="s">
        <v>58</v>
      </c>
      <c r="B193" s="8" t="str">
        <f>"20200302518"</f>
        <v>20200302518</v>
      </c>
      <c r="C193" s="9">
        <v>73.1</v>
      </c>
      <c r="D193" s="9">
        <v>73.5</v>
      </c>
      <c r="E193" s="9">
        <f t="shared" si="5"/>
        <v>146.6</v>
      </c>
      <c r="G193" s="10"/>
    </row>
    <row r="194" spans="1:7" ht="22.5" customHeight="1">
      <c r="A194" s="8" t="s">
        <v>58</v>
      </c>
      <c r="B194" s="8" t="str">
        <f>"20200302702"</f>
        <v>20200302702</v>
      </c>
      <c r="C194" s="9">
        <v>70</v>
      </c>
      <c r="D194" s="9">
        <v>74.5</v>
      </c>
      <c r="E194" s="9">
        <f t="shared" si="5"/>
        <v>144.5</v>
      </c>
      <c r="G194" s="10"/>
    </row>
    <row r="195" spans="1:7" ht="22.5" customHeight="1">
      <c r="A195" s="8" t="s">
        <v>58</v>
      </c>
      <c r="B195" s="8" t="str">
        <f>"20200302329"</f>
        <v>20200302329</v>
      </c>
      <c r="C195" s="9">
        <v>66.9</v>
      </c>
      <c r="D195" s="9">
        <v>77</v>
      </c>
      <c r="E195" s="9">
        <f t="shared" si="5"/>
        <v>143.9</v>
      </c>
      <c r="G195" s="10"/>
    </row>
    <row r="196" spans="1:7" ht="22.5" customHeight="1">
      <c r="A196" s="8" t="s">
        <v>58</v>
      </c>
      <c r="B196" s="8" t="str">
        <f>"20200302229"</f>
        <v>20200302229</v>
      </c>
      <c r="C196" s="9">
        <v>70.8</v>
      </c>
      <c r="D196" s="9">
        <v>72</v>
      </c>
      <c r="E196" s="9">
        <f t="shared" si="5"/>
        <v>142.8</v>
      </c>
      <c r="G196" s="10"/>
    </row>
    <row r="197" spans="1:7" ht="22.5" customHeight="1">
      <c r="A197" s="8" t="s">
        <v>59</v>
      </c>
      <c r="B197" s="8" t="str">
        <f>"20200302911"</f>
        <v>20200302911</v>
      </c>
      <c r="C197" s="9">
        <v>59.1</v>
      </c>
      <c r="D197" s="9">
        <v>76.5</v>
      </c>
      <c r="E197" s="9">
        <f t="shared" si="5"/>
        <v>135.6</v>
      </c>
      <c r="G197" s="10"/>
    </row>
    <row r="198" spans="1:7" ht="22.5" customHeight="1">
      <c r="A198" s="8" t="s">
        <v>59</v>
      </c>
      <c r="B198" s="8" t="str">
        <f>"20200302912"</f>
        <v>20200302912</v>
      </c>
      <c r="C198" s="9">
        <v>50.8</v>
      </c>
      <c r="D198" s="9">
        <v>72.5</v>
      </c>
      <c r="E198" s="9">
        <f t="shared" si="5"/>
        <v>123.3</v>
      </c>
      <c r="G198" s="10"/>
    </row>
    <row r="199" spans="1:7" ht="22.5" customHeight="1">
      <c r="A199" s="9" t="s">
        <v>59</v>
      </c>
      <c r="B199" s="9" t="str">
        <f>"20200302910"</f>
        <v>20200302910</v>
      </c>
      <c r="C199" s="9">
        <v>40.2</v>
      </c>
      <c r="D199" s="9">
        <v>71.5</v>
      </c>
      <c r="E199" s="9">
        <f t="shared" si="5"/>
        <v>111.7</v>
      </c>
      <c r="G199" s="11"/>
    </row>
    <row r="200" spans="1:7" ht="22.5" customHeight="1">
      <c r="A200" s="8" t="s">
        <v>60</v>
      </c>
      <c r="B200" s="8" t="str">
        <f>"20200302916"</f>
        <v>20200302916</v>
      </c>
      <c r="C200" s="9">
        <v>69.2</v>
      </c>
      <c r="D200" s="9">
        <v>74</v>
      </c>
      <c r="E200" s="9">
        <f t="shared" si="5"/>
        <v>143.2</v>
      </c>
      <c r="G200" s="10"/>
    </row>
    <row r="201" spans="1:7" ht="22.5" customHeight="1">
      <c r="A201" s="8" t="s">
        <v>60</v>
      </c>
      <c r="B201" s="8" t="str">
        <f>"20200302914"</f>
        <v>20200302914</v>
      </c>
      <c r="C201" s="9">
        <v>53.7</v>
      </c>
      <c r="D201" s="9">
        <v>74</v>
      </c>
      <c r="E201" s="9">
        <f t="shared" si="5"/>
        <v>127.7</v>
      </c>
      <c r="G201" s="10"/>
    </row>
    <row r="202" spans="1:7" ht="22.5" customHeight="1">
      <c r="A202" s="8" t="s">
        <v>60</v>
      </c>
      <c r="B202" s="8" t="str">
        <f>"20200302919"</f>
        <v>20200302919</v>
      </c>
      <c r="C202" s="9">
        <v>57.3</v>
      </c>
      <c r="D202" s="9">
        <v>70</v>
      </c>
      <c r="E202" s="9">
        <f t="shared" si="5"/>
        <v>127.3</v>
      </c>
      <c r="G202" s="10"/>
    </row>
    <row r="203" spans="1:7" ht="22.5" customHeight="1">
      <c r="A203" s="8" t="s">
        <v>61</v>
      </c>
      <c r="B203" s="8" t="str">
        <f>"20200303423"</f>
        <v>20200303423</v>
      </c>
      <c r="C203" s="9">
        <v>76.5</v>
      </c>
      <c r="D203" s="9">
        <v>75</v>
      </c>
      <c r="E203" s="9">
        <f aca="true" t="shared" si="6" ref="E203:E236">C203+D203</f>
        <v>151.5</v>
      </c>
      <c r="G203" s="10"/>
    </row>
    <row r="204" spans="1:7" ht="22.5" customHeight="1">
      <c r="A204" s="8" t="s">
        <v>61</v>
      </c>
      <c r="B204" s="8" t="str">
        <f>"20200303416"</f>
        <v>20200303416</v>
      </c>
      <c r="C204" s="9">
        <v>77.2</v>
      </c>
      <c r="D204" s="9">
        <v>72.5</v>
      </c>
      <c r="E204" s="9">
        <f t="shared" si="6"/>
        <v>149.7</v>
      </c>
      <c r="G204" s="10"/>
    </row>
    <row r="205" spans="1:7" ht="22.5" customHeight="1">
      <c r="A205" s="8" t="s">
        <v>61</v>
      </c>
      <c r="B205" s="8" t="str">
        <f>"20200303015"</f>
        <v>20200303015</v>
      </c>
      <c r="C205" s="9">
        <v>75.3</v>
      </c>
      <c r="D205" s="9">
        <v>74</v>
      </c>
      <c r="E205" s="9">
        <f t="shared" si="6"/>
        <v>149.3</v>
      </c>
      <c r="G205" s="10"/>
    </row>
    <row r="206" spans="1:7" ht="22.5" customHeight="1">
      <c r="A206" s="8" t="s">
        <v>61</v>
      </c>
      <c r="B206" s="8" t="str">
        <f>"20200303303"</f>
        <v>20200303303</v>
      </c>
      <c r="C206" s="9">
        <v>72.1</v>
      </c>
      <c r="D206" s="9">
        <v>75.5</v>
      </c>
      <c r="E206" s="9">
        <f t="shared" si="6"/>
        <v>147.6</v>
      </c>
      <c r="G206" s="10"/>
    </row>
    <row r="207" spans="1:7" ht="22.5" customHeight="1">
      <c r="A207" s="8" t="s">
        <v>61</v>
      </c>
      <c r="B207" s="8" t="str">
        <f>"20200303428"</f>
        <v>20200303428</v>
      </c>
      <c r="C207" s="9">
        <v>74.2</v>
      </c>
      <c r="D207" s="9">
        <v>73</v>
      </c>
      <c r="E207" s="9">
        <f t="shared" si="6"/>
        <v>147.2</v>
      </c>
      <c r="G207" s="10"/>
    </row>
    <row r="208" spans="1:7" ht="22.5" customHeight="1">
      <c r="A208" s="8" t="s">
        <v>61</v>
      </c>
      <c r="B208" s="8" t="str">
        <f>"20200303407"</f>
        <v>20200303407</v>
      </c>
      <c r="C208" s="9">
        <v>70.7</v>
      </c>
      <c r="D208" s="9">
        <v>74</v>
      </c>
      <c r="E208" s="9">
        <f t="shared" si="6"/>
        <v>144.7</v>
      </c>
      <c r="G208" s="10"/>
    </row>
    <row r="209" spans="1:7" ht="22.5" customHeight="1">
      <c r="A209" s="8" t="s">
        <v>62</v>
      </c>
      <c r="B209" s="8" t="str">
        <f>"20200303609"</f>
        <v>20200303609</v>
      </c>
      <c r="C209" s="9">
        <v>54</v>
      </c>
      <c r="D209" s="9">
        <v>70</v>
      </c>
      <c r="E209" s="9">
        <f t="shared" si="6"/>
        <v>124</v>
      </c>
      <c r="G209" s="10"/>
    </row>
    <row r="210" spans="1:7" ht="22.5" customHeight="1">
      <c r="A210" s="8" t="s">
        <v>63</v>
      </c>
      <c r="B210" s="8" t="str">
        <f>"20200303620"</f>
        <v>20200303620</v>
      </c>
      <c r="C210" s="9">
        <v>57.7</v>
      </c>
      <c r="D210" s="9">
        <v>76.5</v>
      </c>
      <c r="E210" s="9">
        <f t="shared" si="6"/>
        <v>134.2</v>
      </c>
      <c r="G210" s="10"/>
    </row>
    <row r="211" spans="1:7" ht="22.5" customHeight="1">
      <c r="A211" s="8" t="s">
        <v>63</v>
      </c>
      <c r="B211" s="8" t="str">
        <f>"20200303625"</f>
        <v>20200303625</v>
      </c>
      <c r="C211" s="9">
        <v>61.5</v>
      </c>
      <c r="D211" s="9">
        <v>72.5</v>
      </c>
      <c r="E211" s="9">
        <f t="shared" si="6"/>
        <v>134</v>
      </c>
      <c r="G211" s="10"/>
    </row>
    <row r="212" spans="1:7" ht="22.5" customHeight="1">
      <c r="A212" s="8" t="s">
        <v>63</v>
      </c>
      <c r="B212" s="8" t="str">
        <f>"20200303616"</f>
        <v>20200303616</v>
      </c>
      <c r="C212" s="9">
        <v>60.4</v>
      </c>
      <c r="D212" s="9">
        <v>72.5</v>
      </c>
      <c r="E212" s="9">
        <f t="shared" si="6"/>
        <v>132.9</v>
      </c>
      <c r="G212" s="10"/>
    </row>
    <row r="213" spans="1:7" ht="22.5" customHeight="1">
      <c r="A213" s="8" t="s">
        <v>63</v>
      </c>
      <c r="B213" s="8" t="str">
        <f>"20200303622"</f>
        <v>20200303622</v>
      </c>
      <c r="C213" s="9">
        <v>55.6</v>
      </c>
      <c r="D213" s="9">
        <v>76</v>
      </c>
      <c r="E213" s="9">
        <f t="shared" si="6"/>
        <v>131.6</v>
      </c>
      <c r="G213" s="10"/>
    </row>
    <row r="214" spans="1:7" ht="22.5" customHeight="1">
      <c r="A214" s="8" t="s">
        <v>63</v>
      </c>
      <c r="B214" s="8" t="str">
        <f>"20200303619"</f>
        <v>20200303619</v>
      </c>
      <c r="C214" s="9">
        <v>54.9</v>
      </c>
      <c r="D214" s="9">
        <v>73</v>
      </c>
      <c r="E214" s="9">
        <f t="shared" si="6"/>
        <v>127.9</v>
      </c>
      <c r="G214" s="10"/>
    </row>
    <row r="215" spans="1:7" ht="22.5" customHeight="1">
      <c r="A215" s="8" t="s">
        <v>63</v>
      </c>
      <c r="B215" s="8" t="str">
        <f>"20200303618"</f>
        <v>20200303618</v>
      </c>
      <c r="C215" s="9">
        <v>59.1</v>
      </c>
      <c r="D215" s="9">
        <v>68.5</v>
      </c>
      <c r="E215" s="9">
        <f t="shared" si="6"/>
        <v>127.6</v>
      </c>
      <c r="G215" s="10"/>
    </row>
    <row r="216" spans="1:7" ht="22.5" customHeight="1">
      <c r="A216" s="8" t="s">
        <v>64</v>
      </c>
      <c r="B216" s="8" t="str">
        <f>"20200303629"</f>
        <v>20200303629</v>
      </c>
      <c r="C216" s="9">
        <v>59.8</v>
      </c>
      <c r="D216" s="9">
        <v>71.5</v>
      </c>
      <c r="E216" s="9">
        <f t="shared" si="6"/>
        <v>131.3</v>
      </c>
      <c r="G216" s="10"/>
    </row>
    <row r="217" spans="1:7" ht="22.5" customHeight="1">
      <c r="A217" s="8" t="s">
        <v>64</v>
      </c>
      <c r="B217" s="8" t="str">
        <f>"20200303627"</f>
        <v>20200303627</v>
      </c>
      <c r="C217" s="9">
        <v>55.1</v>
      </c>
      <c r="D217" s="9">
        <v>71</v>
      </c>
      <c r="E217" s="9">
        <f t="shared" si="6"/>
        <v>126.1</v>
      </c>
      <c r="G217" s="10"/>
    </row>
    <row r="218" spans="1:7" ht="22.5" customHeight="1">
      <c r="A218" s="8" t="s">
        <v>64</v>
      </c>
      <c r="B218" s="8" t="str">
        <f>"20200303704"</f>
        <v>20200303704</v>
      </c>
      <c r="C218" s="9">
        <v>50.1</v>
      </c>
      <c r="D218" s="9">
        <v>69.5</v>
      </c>
      <c r="E218" s="9">
        <f t="shared" si="6"/>
        <v>119.6</v>
      </c>
      <c r="G218" s="10"/>
    </row>
    <row r="219" spans="1:7" ht="22.5" customHeight="1">
      <c r="A219" s="8" t="s">
        <v>65</v>
      </c>
      <c r="B219" s="8" t="str">
        <f>"20200303707"</f>
        <v>20200303707</v>
      </c>
      <c r="C219" s="9">
        <v>64.7</v>
      </c>
      <c r="D219" s="9">
        <v>68.5</v>
      </c>
      <c r="E219" s="9">
        <f t="shared" si="6"/>
        <v>133.2</v>
      </c>
      <c r="G219" s="10"/>
    </row>
    <row r="220" spans="1:7" ht="22.5" customHeight="1">
      <c r="A220" s="8" t="s">
        <v>65</v>
      </c>
      <c r="B220" s="8" t="str">
        <f>"20200303708"</f>
        <v>20200303708</v>
      </c>
      <c r="C220" s="9">
        <v>64.5</v>
      </c>
      <c r="D220" s="9">
        <v>68.5</v>
      </c>
      <c r="E220" s="9">
        <f t="shared" si="6"/>
        <v>133</v>
      </c>
      <c r="G220" s="10"/>
    </row>
    <row r="221" spans="1:7" ht="22.5" customHeight="1">
      <c r="A221" s="8" t="s">
        <v>65</v>
      </c>
      <c r="B221" s="8" t="str">
        <f>"20200303714"</f>
        <v>20200303714</v>
      </c>
      <c r="C221" s="9">
        <v>55.1</v>
      </c>
      <c r="D221" s="9">
        <v>70</v>
      </c>
      <c r="E221" s="9">
        <f t="shared" si="6"/>
        <v>125.1</v>
      </c>
      <c r="G221" s="10"/>
    </row>
    <row r="222" spans="1:7" ht="22.5" customHeight="1">
      <c r="A222" s="8" t="s">
        <v>66</v>
      </c>
      <c r="B222" s="8" t="str">
        <f>"20200303715"</f>
        <v>20200303715</v>
      </c>
      <c r="C222" s="9">
        <v>60.2</v>
      </c>
      <c r="D222" s="9">
        <v>75.5</v>
      </c>
      <c r="E222" s="9">
        <f t="shared" si="6"/>
        <v>135.7</v>
      </c>
      <c r="G222" s="10"/>
    </row>
    <row r="223" spans="1:7" ht="22.5" customHeight="1">
      <c r="A223" s="8" t="s">
        <v>66</v>
      </c>
      <c r="B223" s="8" t="str">
        <f>"20200303716"</f>
        <v>20200303716</v>
      </c>
      <c r="C223" s="9">
        <v>56.4</v>
      </c>
      <c r="D223" s="9">
        <v>74.5</v>
      </c>
      <c r="E223" s="9">
        <f t="shared" si="6"/>
        <v>130.9</v>
      </c>
      <c r="G223" s="10"/>
    </row>
    <row r="224" spans="1:7" ht="22.5" customHeight="1">
      <c r="A224" s="8" t="s">
        <v>67</v>
      </c>
      <c r="B224" s="8" t="str">
        <f>"20200303723"</f>
        <v>20200303723</v>
      </c>
      <c r="C224" s="9">
        <v>68.8</v>
      </c>
      <c r="D224" s="9">
        <v>71</v>
      </c>
      <c r="E224" s="9">
        <f t="shared" si="6"/>
        <v>139.8</v>
      </c>
      <c r="G224" s="10"/>
    </row>
    <row r="225" spans="1:7" ht="22.5" customHeight="1">
      <c r="A225" s="8" t="s">
        <v>67</v>
      </c>
      <c r="B225" s="8" t="str">
        <f>"20200303722"</f>
        <v>20200303722</v>
      </c>
      <c r="C225" s="9">
        <v>64</v>
      </c>
      <c r="D225" s="9">
        <v>74.5</v>
      </c>
      <c r="E225" s="9">
        <f t="shared" si="6"/>
        <v>138.5</v>
      </c>
      <c r="G225" s="10"/>
    </row>
    <row r="226" spans="1:7" ht="22.5" customHeight="1">
      <c r="A226" s="8" t="s">
        <v>67</v>
      </c>
      <c r="B226" s="8" t="str">
        <f>"20200303717"</f>
        <v>20200303717</v>
      </c>
      <c r="C226" s="9">
        <v>64.1</v>
      </c>
      <c r="D226" s="9">
        <v>73</v>
      </c>
      <c r="E226" s="9">
        <f t="shared" si="6"/>
        <v>137.1</v>
      </c>
      <c r="G226" s="10"/>
    </row>
    <row r="227" spans="1:7" ht="22.5" customHeight="1">
      <c r="A227" s="8" t="s">
        <v>67</v>
      </c>
      <c r="B227" s="8" t="str">
        <f>"20200303726"</f>
        <v>20200303726</v>
      </c>
      <c r="C227" s="9">
        <v>55.9</v>
      </c>
      <c r="D227" s="9">
        <v>74</v>
      </c>
      <c r="E227" s="9">
        <f t="shared" si="6"/>
        <v>129.9</v>
      </c>
      <c r="G227" s="10"/>
    </row>
    <row r="228" spans="1:7" ht="22.5" customHeight="1">
      <c r="A228" s="8" t="s">
        <v>67</v>
      </c>
      <c r="B228" s="8" t="str">
        <f>"20200303727"</f>
        <v>20200303727</v>
      </c>
      <c r="C228" s="9">
        <v>56.6</v>
      </c>
      <c r="D228" s="9">
        <v>71.5</v>
      </c>
      <c r="E228" s="9">
        <f t="shared" si="6"/>
        <v>128.1</v>
      </c>
      <c r="G228" s="10"/>
    </row>
    <row r="229" spans="1:7" ht="22.5" customHeight="1">
      <c r="A229" s="8" t="s">
        <v>67</v>
      </c>
      <c r="B229" s="8" t="str">
        <f>"20200303720"</f>
        <v>20200303720</v>
      </c>
      <c r="C229" s="9">
        <v>51.7</v>
      </c>
      <c r="D229" s="9">
        <v>76</v>
      </c>
      <c r="E229" s="9">
        <f t="shared" si="6"/>
        <v>127.7</v>
      </c>
      <c r="G229" s="10"/>
    </row>
    <row r="230" spans="1:7" ht="22.5" customHeight="1">
      <c r="A230" s="8" t="s">
        <v>69</v>
      </c>
      <c r="B230" s="8" t="str">
        <f>"20200303802"</f>
        <v>20200303802</v>
      </c>
      <c r="C230" s="9">
        <v>45.5</v>
      </c>
      <c r="D230" s="9">
        <v>69</v>
      </c>
      <c r="E230" s="9">
        <f t="shared" si="6"/>
        <v>114.5</v>
      </c>
      <c r="G230" s="10"/>
    </row>
    <row r="231" spans="1:7" ht="22.5" customHeight="1">
      <c r="A231" s="8" t="s">
        <v>70</v>
      </c>
      <c r="B231" s="8" t="str">
        <f>"20200303804"</f>
        <v>20200303804</v>
      </c>
      <c r="C231" s="9">
        <v>62</v>
      </c>
      <c r="D231" s="9">
        <v>67</v>
      </c>
      <c r="E231" s="9">
        <f t="shared" si="6"/>
        <v>129</v>
      </c>
      <c r="G231" s="10"/>
    </row>
    <row r="232" spans="1:7" ht="22.5" customHeight="1">
      <c r="A232" s="8" t="s">
        <v>70</v>
      </c>
      <c r="B232" s="8" t="str">
        <f>"20200303816"</f>
        <v>20200303816</v>
      </c>
      <c r="C232" s="9">
        <v>52.4</v>
      </c>
      <c r="D232" s="9">
        <v>73</v>
      </c>
      <c r="E232" s="9">
        <f t="shared" si="6"/>
        <v>125.4</v>
      </c>
      <c r="G232" s="10"/>
    </row>
    <row r="233" spans="1:7" ht="22.5" customHeight="1">
      <c r="A233" s="8" t="s">
        <v>70</v>
      </c>
      <c r="B233" s="8" t="str">
        <f>"20200303812"</f>
        <v>20200303812</v>
      </c>
      <c r="C233" s="9">
        <v>56.1</v>
      </c>
      <c r="D233" s="9">
        <v>67.5</v>
      </c>
      <c r="E233" s="9">
        <f t="shared" si="6"/>
        <v>123.6</v>
      </c>
      <c r="G233" s="10"/>
    </row>
    <row r="234" spans="1:7" ht="22.5" customHeight="1">
      <c r="A234" s="8" t="s">
        <v>70</v>
      </c>
      <c r="B234" s="8" t="str">
        <f>"20200303814"</f>
        <v>20200303814</v>
      </c>
      <c r="C234" s="9">
        <v>48</v>
      </c>
      <c r="D234" s="9">
        <v>70</v>
      </c>
      <c r="E234" s="9">
        <f t="shared" si="6"/>
        <v>118</v>
      </c>
      <c r="G234" s="10"/>
    </row>
    <row r="235" spans="1:7" ht="22.5" customHeight="1">
      <c r="A235" s="8" t="s">
        <v>70</v>
      </c>
      <c r="B235" s="8" t="str">
        <f>"20200303810"</f>
        <v>20200303810</v>
      </c>
      <c r="C235" s="9">
        <v>40.8</v>
      </c>
      <c r="D235" s="9">
        <v>70.5</v>
      </c>
      <c r="E235" s="9">
        <f t="shared" si="6"/>
        <v>111.3</v>
      </c>
      <c r="G235" s="10"/>
    </row>
    <row r="236" spans="1:7" ht="22.5" customHeight="1">
      <c r="A236" s="9" t="s">
        <v>70</v>
      </c>
      <c r="B236" s="9" t="str">
        <f>"20200303818"</f>
        <v>20200303818</v>
      </c>
      <c r="C236" s="9">
        <v>43.2</v>
      </c>
      <c r="D236" s="9">
        <v>67.5</v>
      </c>
      <c r="E236" s="9">
        <f t="shared" si="6"/>
        <v>110.7</v>
      </c>
      <c r="G236" s="11"/>
    </row>
    <row r="237" spans="1:7" ht="22.5" customHeight="1">
      <c r="A237" s="8" t="s">
        <v>71</v>
      </c>
      <c r="B237" s="8" t="str">
        <f>"20200303824"</f>
        <v>20200303824</v>
      </c>
      <c r="C237" s="9">
        <v>77</v>
      </c>
      <c r="D237" s="9">
        <v>70</v>
      </c>
      <c r="E237" s="9">
        <f aca="true" t="shared" si="7" ref="E237:E290">C237+D237</f>
        <v>147</v>
      </c>
      <c r="G237" s="10"/>
    </row>
    <row r="238" spans="1:7" ht="22.5" customHeight="1">
      <c r="A238" s="8" t="s">
        <v>71</v>
      </c>
      <c r="B238" s="8" t="str">
        <f>"20200303905"</f>
        <v>20200303905</v>
      </c>
      <c r="C238" s="9">
        <v>65.9</v>
      </c>
      <c r="D238" s="9">
        <v>72</v>
      </c>
      <c r="E238" s="9">
        <f t="shared" si="7"/>
        <v>137.9</v>
      </c>
      <c r="G238" s="10"/>
    </row>
    <row r="239" spans="1:7" ht="22.5" customHeight="1">
      <c r="A239" s="8" t="s">
        <v>71</v>
      </c>
      <c r="B239" s="8" t="str">
        <f>"20200303919"</f>
        <v>20200303919</v>
      </c>
      <c r="C239" s="9">
        <v>57.4</v>
      </c>
      <c r="D239" s="9">
        <v>70</v>
      </c>
      <c r="E239" s="9">
        <f t="shared" si="7"/>
        <v>127.4</v>
      </c>
      <c r="G239" s="10"/>
    </row>
    <row r="240" spans="1:7" ht="22.5" customHeight="1">
      <c r="A240" s="8" t="s">
        <v>71</v>
      </c>
      <c r="B240" s="8" t="str">
        <f>"20200303917"</f>
        <v>20200303917</v>
      </c>
      <c r="C240" s="9">
        <v>53.5</v>
      </c>
      <c r="D240" s="9">
        <v>73</v>
      </c>
      <c r="E240" s="9">
        <f t="shared" si="7"/>
        <v>126.5</v>
      </c>
      <c r="G240" s="10"/>
    </row>
    <row r="241" spans="1:7" ht="22.5" customHeight="1">
      <c r="A241" s="8" t="s">
        <v>71</v>
      </c>
      <c r="B241" s="8" t="str">
        <f>"20200303916"</f>
        <v>20200303916</v>
      </c>
      <c r="C241" s="9">
        <v>57.3</v>
      </c>
      <c r="D241" s="9">
        <v>68.5</v>
      </c>
      <c r="E241" s="9">
        <f t="shared" si="7"/>
        <v>125.8</v>
      </c>
      <c r="G241" s="10"/>
    </row>
    <row r="242" spans="1:7" ht="22.5" customHeight="1">
      <c r="A242" s="8" t="s">
        <v>71</v>
      </c>
      <c r="B242" s="8" t="str">
        <f>"20200303914"</f>
        <v>20200303914</v>
      </c>
      <c r="C242" s="9">
        <v>54.8</v>
      </c>
      <c r="D242" s="9">
        <v>70.5</v>
      </c>
      <c r="E242" s="9">
        <f t="shared" si="7"/>
        <v>125.3</v>
      </c>
      <c r="G242" s="10"/>
    </row>
    <row r="243" spans="1:7" ht="22.5" customHeight="1">
      <c r="A243" s="8" t="s">
        <v>72</v>
      </c>
      <c r="B243" s="8" t="str">
        <f>"20200303922"</f>
        <v>20200303922</v>
      </c>
      <c r="C243" s="9">
        <v>61.1</v>
      </c>
      <c r="D243" s="9">
        <v>73.5</v>
      </c>
      <c r="E243" s="9">
        <f t="shared" si="7"/>
        <v>134.6</v>
      </c>
      <c r="G243" s="10"/>
    </row>
    <row r="244" spans="1:7" ht="22.5" customHeight="1">
      <c r="A244" s="8" t="s">
        <v>73</v>
      </c>
      <c r="B244" s="8" t="str">
        <f>"20200303926"</f>
        <v>20200303926</v>
      </c>
      <c r="C244" s="9">
        <v>52.1</v>
      </c>
      <c r="D244" s="9">
        <v>68.5</v>
      </c>
      <c r="E244" s="9">
        <f t="shared" si="7"/>
        <v>120.6</v>
      </c>
      <c r="G244" s="10"/>
    </row>
    <row r="245" spans="1:7" ht="22.5" customHeight="1">
      <c r="A245" s="8" t="s">
        <v>74</v>
      </c>
      <c r="B245" s="8" t="str">
        <f>"20200304001"</f>
        <v>20200304001</v>
      </c>
      <c r="C245" s="9">
        <v>82.6</v>
      </c>
      <c r="D245" s="9">
        <v>72.5</v>
      </c>
      <c r="E245" s="9">
        <f t="shared" si="7"/>
        <v>155.1</v>
      </c>
      <c r="G245" s="10"/>
    </row>
    <row r="246" spans="1:7" ht="22.5" customHeight="1">
      <c r="A246" s="8" t="s">
        <v>74</v>
      </c>
      <c r="B246" s="8" t="str">
        <f>"20200303929"</f>
        <v>20200303929</v>
      </c>
      <c r="C246" s="9">
        <v>65.8</v>
      </c>
      <c r="D246" s="9">
        <v>76.5</v>
      </c>
      <c r="E246" s="9">
        <f t="shared" si="7"/>
        <v>142.3</v>
      </c>
      <c r="G246" s="10"/>
    </row>
    <row r="247" spans="1:7" ht="22.5" customHeight="1">
      <c r="A247" s="8" t="s">
        <v>74</v>
      </c>
      <c r="B247" s="8" t="str">
        <f>"20200304003"</f>
        <v>20200304003</v>
      </c>
      <c r="C247" s="9">
        <v>65.6</v>
      </c>
      <c r="D247" s="9">
        <v>72.5</v>
      </c>
      <c r="E247" s="9">
        <f t="shared" si="7"/>
        <v>138.1</v>
      </c>
      <c r="G247" s="10"/>
    </row>
    <row r="248" spans="1:7" ht="22.5" customHeight="1">
      <c r="A248" s="8" t="s">
        <v>75</v>
      </c>
      <c r="B248" s="8" t="str">
        <f>"20200304004"</f>
        <v>20200304004</v>
      </c>
      <c r="C248" s="9">
        <v>60.4</v>
      </c>
      <c r="D248" s="9">
        <v>73</v>
      </c>
      <c r="E248" s="9">
        <f t="shared" si="7"/>
        <v>133.4</v>
      </c>
      <c r="G248" s="10"/>
    </row>
    <row r="249" spans="1:7" ht="22.5" customHeight="1">
      <c r="A249" s="8" t="s">
        <v>76</v>
      </c>
      <c r="B249" s="8" t="str">
        <f>"20200304012"</f>
        <v>20200304012</v>
      </c>
      <c r="C249" s="9">
        <v>64.7</v>
      </c>
      <c r="D249" s="9">
        <v>70.5</v>
      </c>
      <c r="E249" s="9">
        <f t="shared" si="7"/>
        <v>135.2</v>
      </c>
      <c r="G249" s="10"/>
    </row>
    <row r="250" spans="1:7" ht="22.5" customHeight="1">
      <c r="A250" s="8" t="s">
        <v>76</v>
      </c>
      <c r="B250" s="8" t="str">
        <f>"20200304010"</f>
        <v>20200304010</v>
      </c>
      <c r="C250" s="9">
        <v>62.9</v>
      </c>
      <c r="D250" s="9">
        <v>71.5</v>
      </c>
      <c r="E250" s="9">
        <f t="shared" si="7"/>
        <v>134.4</v>
      </c>
      <c r="G250" s="10"/>
    </row>
    <row r="251" spans="1:7" ht="22.5" customHeight="1">
      <c r="A251" s="8" t="s">
        <v>76</v>
      </c>
      <c r="B251" s="8" t="str">
        <f>"20200304007"</f>
        <v>20200304007</v>
      </c>
      <c r="C251" s="9">
        <v>60.1</v>
      </c>
      <c r="D251" s="9">
        <v>71</v>
      </c>
      <c r="E251" s="9">
        <f t="shared" si="7"/>
        <v>131.1</v>
      </c>
      <c r="G251" s="10"/>
    </row>
    <row r="252" spans="1:7" ht="22.5" customHeight="1">
      <c r="A252" s="8" t="s">
        <v>76</v>
      </c>
      <c r="B252" s="8" t="str">
        <f>"20200304013"</f>
        <v>20200304013</v>
      </c>
      <c r="C252" s="9">
        <v>48.2</v>
      </c>
      <c r="D252" s="9">
        <v>67</v>
      </c>
      <c r="E252" s="9">
        <f t="shared" si="7"/>
        <v>115.2</v>
      </c>
      <c r="G252" s="10"/>
    </row>
    <row r="253" spans="1:7" ht="22.5" customHeight="1">
      <c r="A253" s="8" t="s">
        <v>77</v>
      </c>
      <c r="B253" s="8" t="str">
        <f>"20200304015"</f>
        <v>20200304015</v>
      </c>
      <c r="C253" s="9">
        <v>60.1</v>
      </c>
      <c r="D253" s="9">
        <v>69</v>
      </c>
      <c r="E253" s="9">
        <f t="shared" si="7"/>
        <v>129.1</v>
      </c>
      <c r="G253" s="10"/>
    </row>
    <row r="254" spans="1:7" ht="22.5" customHeight="1">
      <c r="A254" s="8" t="s">
        <v>77</v>
      </c>
      <c r="B254" s="8" t="str">
        <f>"20200304014"</f>
        <v>20200304014</v>
      </c>
      <c r="C254" s="9">
        <v>49.5</v>
      </c>
      <c r="D254" s="9">
        <v>70.5</v>
      </c>
      <c r="E254" s="9">
        <f t="shared" si="7"/>
        <v>120</v>
      </c>
      <c r="G254" s="10"/>
    </row>
    <row r="255" spans="1:7" ht="22.5" customHeight="1">
      <c r="A255" s="8" t="s">
        <v>78</v>
      </c>
      <c r="B255" s="8" t="str">
        <f>"20200304022"</f>
        <v>20200304022</v>
      </c>
      <c r="C255" s="9">
        <v>68.6</v>
      </c>
      <c r="D255" s="9">
        <v>73.5</v>
      </c>
      <c r="E255" s="9">
        <f t="shared" si="7"/>
        <v>142.1</v>
      </c>
      <c r="G255" s="10"/>
    </row>
    <row r="256" spans="1:7" ht="22.5" customHeight="1">
      <c r="A256" s="8" t="s">
        <v>78</v>
      </c>
      <c r="B256" s="8" t="str">
        <f>"20200304020"</f>
        <v>20200304020</v>
      </c>
      <c r="C256" s="9">
        <v>58.5</v>
      </c>
      <c r="D256" s="9">
        <v>71</v>
      </c>
      <c r="E256" s="9">
        <f t="shared" si="7"/>
        <v>129.5</v>
      </c>
      <c r="G256" s="10"/>
    </row>
    <row r="257" spans="1:7" ht="22.5" customHeight="1">
      <c r="A257" s="8" t="s">
        <v>78</v>
      </c>
      <c r="B257" s="8" t="str">
        <f>"20200304017"</f>
        <v>20200304017</v>
      </c>
      <c r="C257" s="9">
        <v>52.5</v>
      </c>
      <c r="D257" s="9">
        <v>70</v>
      </c>
      <c r="E257" s="9">
        <f t="shared" si="7"/>
        <v>122.5</v>
      </c>
      <c r="G257" s="10"/>
    </row>
    <row r="258" spans="1:7" ht="22.5" customHeight="1">
      <c r="A258" s="8" t="s">
        <v>78</v>
      </c>
      <c r="B258" s="8" t="str">
        <f>"20200304021"</f>
        <v>20200304021</v>
      </c>
      <c r="C258" s="9">
        <v>48.2</v>
      </c>
      <c r="D258" s="9">
        <v>69</v>
      </c>
      <c r="E258" s="9">
        <f t="shared" si="7"/>
        <v>117.2</v>
      </c>
      <c r="G258" s="10"/>
    </row>
    <row r="259" spans="1:7" ht="22.5" customHeight="1">
      <c r="A259" s="8" t="s">
        <v>79</v>
      </c>
      <c r="B259" s="8" t="str">
        <f>"20200304028"</f>
        <v>20200304028</v>
      </c>
      <c r="C259" s="9">
        <v>68</v>
      </c>
      <c r="D259" s="9">
        <v>72</v>
      </c>
      <c r="E259" s="9">
        <f t="shared" si="7"/>
        <v>140</v>
      </c>
      <c r="G259" s="10"/>
    </row>
    <row r="260" spans="1:7" ht="22.5" customHeight="1">
      <c r="A260" s="8" t="s">
        <v>79</v>
      </c>
      <c r="B260" s="8" t="str">
        <f>"20200304027"</f>
        <v>20200304027</v>
      </c>
      <c r="C260" s="9">
        <v>57</v>
      </c>
      <c r="D260" s="9">
        <v>70</v>
      </c>
      <c r="E260" s="9">
        <f t="shared" si="7"/>
        <v>127</v>
      </c>
      <c r="G260" s="10"/>
    </row>
    <row r="261" spans="1:7" ht="22.5" customHeight="1">
      <c r="A261" s="8" t="s">
        <v>79</v>
      </c>
      <c r="B261" s="8" t="str">
        <f>"20200304023"</f>
        <v>20200304023</v>
      </c>
      <c r="C261" s="9">
        <v>56.8</v>
      </c>
      <c r="D261" s="9">
        <v>70</v>
      </c>
      <c r="E261" s="9">
        <f t="shared" si="7"/>
        <v>126.8</v>
      </c>
      <c r="G261" s="10"/>
    </row>
    <row r="262" spans="1:7" ht="22.5" customHeight="1">
      <c r="A262" s="8" t="s">
        <v>80</v>
      </c>
      <c r="B262" s="8" t="str">
        <f>"20200304105"</f>
        <v>20200304105</v>
      </c>
      <c r="C262" s="9">
        <v>60.5</v>
      </c>
      <c r="D262" s="9">
        <v>70.5</v>
      </c>
      <c r="E262" s="9">
        <f t="shared" si="7"/>
        <v>131</v>
      </c>
      <c r="G262" s="10"/>
    </row>
    <row r="263" spans="1:7" ht="22.5" customHeight="1">
      <c r="A263" s="8" t="s">
        <v>80</v>
      </c>
      <c r="B263" s="8" t="str">
        <f>"20200304102"</f>
        <v>20200304102</v>
      </c>
      <c r="C263" s="9">
        <v>57</v>
      </c>
      <c r="D263" s="9">
        <v>73.5</v>
      </c>
      <c r="E263" s="9">
        <f t="shared" si="7"/>
        <v>130.5</v>
      </c>
      <c r="G263" s="10"/>
    </row>
    <row r="264" spans="1:7" ht="22.5" customHeight="1">
      <c r="A264" s="8" t="s">
        <v>80</v>
      </c>
      <c r="B264" s="8" t="str">
        <f>"20200304107"</f>
        <v>20200304107</v>
      </c>
      <c r="C264" s="9">
        <v>57.1</v>
      </c>
      <c r="D264" s="9">
        <v>72.5</v>
      </c>
      <c r="E264" s="9">
        <f t="shared" si="7"/>
        <v>129.6</v>
      </c>
      <c r="G264" s="10"/>
    </row>
    <row r="265" spans="1:7" ht="22.5" customHeight="1">
      <c r="A265" s="8" t="s">
        <v>81</v>
      </c>
      <c r="B265" s="8" t="str">
        <f>"20200304123"</f>
        <v>20200304123</v>
      </c>
      <c r="C265" s="9">
        <v>69.8</v>
      </c>
      <c r="D265" s="9">
        <v>68.5</v>
      </c>
      <c r="E265" s="9">
        <f t="shared" si="7"/>
        <v>138.3</v>
      </c>
      <c r="G265" s="10"/>
    </row>
    <row r="266" spans="1:7" ht="22.5" customHeight="1">
      <c r="A266" s="8" t="s">
        <v>81</v>
      </c>
      <c r="B266" s="8" t="str">
        <f>"20200304209"</f>
        <v>20200304209</v>
      </c>
      <c r="C266" s="9">
        <v>65.8</v>
      </c>
      <c r="D266" s="9">
        <v>71</v>
      </c>
      <c r="E266" s="9">
        <f t="shared" si="7"/>
        <v>136.8</v>
      </c>
      <c r="G266" s="10"/>
    </row>
    <row r="267" spans="1:7" ht="22.5" customHeight="1">
      <c r="A267" s="8" t="s">
        <v>81</v>
      </c>
      <c r="B267" s="8" t="str">
        <f>"20200304206"</f>
        <v>20200304206</v>
      </c>
      <c r="C267" s="9">
        <v>57</v>
      </c>
      <c r="D267" s="9">
        <v>72</v>
      </c>
      <c r="E267" s="9">
        <f t="shared" si="7"/>
        <v>129</v>
      </c>
      <c r="G267" s="10"/>
    </row>
    <row r="268" spans="1:7" ht="22.5" customHeight="1">
      <c r="A268" s="8" t="s">
        <v>82</v>
      </c>
      <c r="B268" s="8" t="str">
        <f>"20200304212"</f>
        <v>20200304212</v>
      </c>
      <c r="C268" s="9">
        <v>69.6</v>
      </c>
      <c r="D268" s="9">
        <v>70.5</v>
      </c>
      <c r="E268" s="9">
        <f t="shared" si="7"/>
        <v>140.1</v>
      </c>
      <c r="G268" s="10"/>
    </row>
    <row r="269" spans="1:7" ht="22.5" customHeight="1">
      <c r="A269" s="9" t="s">
        <v>82</v>
      </c>
      <c r="B269" s="9" t="str">
        <f>"20200304221"</f>
        <v>20200304221</v>
      </c>
      <c r="C269" s="9">
        <v>53</v>
      </c>
      <c r="D269" s="9">
        <v>70.5</v>
      </c>
      <c r="E269" s="9">
        <f t="shared" si="7"/>
        <v>123.5</v>
      </c>
      <c r="G269" s="11"/>
    </row>
    <row r="270" spans="1:7" ht="22.5" customHeight="1">
      <c r="A270" s="9" t="s">
        <v>82</v>
      </c>
      <c r="B270" s="9" t="str">
        <f>"20200304225"</f>
        <v>20200304225</v>
      </c>
      <c r="C270" s="9">
        <v>46.9</v>
      </c>
      <c r="D270" s="9">
        <v>75.5</v>
      </c>
      <c r="E270" s="9">
        <f t="shared" si="7"/>
        <v>122.4</v>
      </c>
      <c r="G270" s="11"/>
    </row>
    <row r="271" spans="1:7" ht="22.5" customHeight="1">
      <c r="A271" s="8" t="s">
        <v>83</v>
      </c>
      <c r="B271" s="8" t="str">
        <f>"20200304313"</f>
        <v>20200304313</v>
      </c>
      <c r="C271" s="9">
        <v>66.9</v>
      </c>
      <c r="D271" s="9">
        <v>68</v>
      </c>
      <c r="E271" s="9">
        <f t="shared" si="7"/>
        <v>134.9</v>
      </c>
      <c r="G271" s="10"/>
    </row>
    <row r="272" spans="1:7" ht="22.5" customHeight="1">
      <c r="A272" s="8" t="s">
        <v>83</v>
      </c>
      <c r="B272" s="8" t="str">
        <f>"20200304302"</f>
        <v>20200304302</v>
      </c>
      <c r="C272" s="9">
        <v>58.3</v>
      </c>
      <c r="D272" s="9">
        <v>69.5</v>
      </c>
      <c r="E272" s="9">
        <f t="shared" si="7"/>
        <v>127.8</v>
      </c>
      <c r="G272" s="10"/>
    </row>
    <row r="273" spans="1:7" ht="22.5" customHeight="1">
      <c r="A273" s="9" t="s">
        <v>83</v>
      </c>
      <c r="B273" s="9" t="str">
        <f>"20200304308"</f>
        <v>20200304308</v>
      </c>
      <c r="C273" s="9">
        <v>51.6</v>
      </c>
      <c r="D273" s="9">
        <v>69.5</v>
      </c>
      <c r="E273" s="9">
        <f t="shared" si="7"/>
        <v>121.1</v>
      </c>
      <c r="G273" s="11"/>
    </row>
    <row r="274" spans="1:7" ht="22.5" customHeight="1">
      <c r="A274" s="8" t="s">
        <v>84</v>
      </c>
      <c r="B274" s="8" t="str">
        <f>"20200304319"</f>
        <v>20200304319</v>
      </c>
      <c r="C274" s="9">
        <v>57.1</v>
      </c>
      <c r="D274" s="9">
        <v>73.5</v>
      </c>
      <c r="E274" s="9">
        <f t="shared" si="7"/>
        <v>130.6</v>
      </c>
      <c r="G274" s="10"/>
    </row>
    <row r="275" spans="1:7" ht="22.5" customHeight="1">
      <c r="A275" s="8" t="s">
        <v>84</v>
      </c>
      <c r="B275" s="8" t="str">
        <f>"20200304315"</f>
        <v>20200304315</v>
      </c>
      <c r="C275" s="9">
        <v>60.5</v>
      </c>
      <c r="D275" s="9">
        <v>66.5</v>
      </c>
      <c r="E275" s="9">
        <f t="shared" si="7"/>
        <v>127</v>
      </c>
      <c r="G275" s="10"/>
    </row>
    <row r="276" spans="1:7" ht="22.5" customHeight="1">
      <c r="A276" s="8" t="s">
        <v>84</v>
      </c>
      <c r="B276" s="8" t="str">
        <f>"20200304325"</f>
        <v>20200304325</v>
      </c>
      <c r="C276" s="9">
        <v>56.3</v>
      </c>
      <c r="D276" s="9">
        <v>70.5</v>
      </c>
      <c r="E276" s="9">
        <f t="shared" si="7"/>
        <v>126.8</v>
      </c>
      <c r="G276" s="10"/>
    </row>
    <row r="277" spans="1:7" ht="22.5" customHeight="1">
      <c r="A277" s="8" t="s">
        <v>85</v>
      </c>
      <c r="B277" s="8" t="str">
        <f>"20200304328"</f>
        <v>20200304328</v>
      </c>
      <c r="C277" s="9">
        <v>65.2</v>
      </c>
      <c r="D277" s="9">
        <v>68</v>
      </c>
      <c r="E277" s="9">
        <f t="shared" si="7"/>
        <v>133.2</v>
      </c>
      <c r="G277" s="10"/>
    </row>
    <row r="278" spans="1:7" ht="22.5" customHeight="1">
      <c r="A278" s="8" t="s">
        <v>85</v>
      </c>
      <c r="B278" s="8" t="str">
        <f>"20200304329"</f>
        <v>20200304329</v>
      </c>
      <c r="C278" s="9">
        <v>52.3</v>
      </c>
      <c r="D278" s="9">
        <v>71</v>
      </c>
      <c r="E278" s="9">
        <f t="shared" si="7"/>
        <v>123.3</v>
      </c>
      <c r="G278" s="10"/>
    </row>
    <row r="279" spans="1:7" ht="22.5" customHeight="1">
      <c r="A279" s="8" t="s">
        <v>86</v>
      </c>
      <c r="B279" s="8" t="str">
        <f>"20200304905"</f>
        <v>20200304905</v>
      </c>
      <c r="C279" s="9">
        <v>72.1</v>
      </c>
      <c r="D279" s="9">
        <v>69</v>
      </c>
      <c r="E279" s="9">
        <f t="shared" si="7"/>
        <v>141.1</v>
      </c>
      <c r="G279" s="10"/>
    </row>
    <row r="280" spans="1:7" ht="22.5" customHeight="1">
      <c r="A280" s="8" t="s">
        <v>86</v>
      </c>
      <c r="B280" s="8" t="str">
        <f>"20200304821"</f>
        <v>20200304821</v>
      </c>
      <c r="C280" s="9">
        <v>67.3</v>
      </c>
      <c r="D280" s="9">
        <v>69</v>
      </c>
      <c r="E280" s="9">
        <f t="shared" si="7"/>
        <v>136.3</v>
      </c>
      <c r="G280" s="10"/>
    </row>
    <row r="281" spans="1:7" ht="22.5" customHeight="1">
      <c r="A281" s="8" t="s">
        <v>86</v>
      </c>
      <c r="B281" s="8" t="str">
        <f>"20200304408"</f>
        <v>20200304408</v>
      </c>
      <c r="C281" s="9">
        <v>66.4</v>
      </c>
      <c r="D281" s="9">
        <v>68</v>
      </c>
      <c r="E281" s="9">
        <f t="shared" si="7"/>
        <v>134.4</v>
      </c>
      <c r="G281" s="10"/>
    </row>
    <row r="282" spans="1:7" ht="22.5" customHeight="1">
      <c r="A282" s="8" t="s">
        <v>87</v>
      </c>
      <c r="B282" s="8" t="str">
        <f>"20200305014"</f>
        <v>20200305014</v>
      </c>
      <c r="C282" s="9">
        <v>51.1</v>
      </c>
      <c r="D282" s="9">
        <v>69</v>
      </c>
      <c r="E282" s="9">
        <f t="shared" si="7"/>
        <v>120.1</v>
      </c>
      <c r="G282" s="10"/>
    </row>
    <row r="283" spans="1:7" ht="22.5" customHeight="1">
      <c r="A283" s="8" t="s">
        <v>87</v>
      </c>
      <c r="B283" s="8" t="str">
        <f>"20200305015"</f>
        <v>20200305015</v>
      </c>
      <c r="C283" s="9">
        <v>39.2</v>
      </c>
      <c r="D283" s="9">
        <v>71.5</v>
      </c>
      <c r="E283" s="9">
        <f t="shared" si="7"/>
        <v>110.7</v>
      </c>
      <c r="G283" s="10"/>
    </row>
    <row r="284" spans="1:7" ht="22.5" customHeight="1">
      <c r="A284" s="9" t="s">
        <v>87</v>
      </c>
      <c r="B284" s="9" t="str">
        <f>"20200305017"</f>
        <v>20200305017</v>
      </c>
      <c r="C284" s="9">
        <v>36</v>
      </c>
      <c r="D284" s="9">
        <v>68</v>
      </c>
      <c r="E284" s="9">
        <f t="shared" si="7"/>
        <v>104</v>
      </c>
      <c r="G284" s="11"/>
    </row>
    <row r="285" spans="1:7" ht="22.5" customHeight="1">
      <c r="A285" s="8" t="s">
        <v>88</v>
      </c>
      <c r="B285" s="8" t="str">
        <f>"20200305102"</f>
        <v>20200305102</v>
      </c>
      <c r="C285" s="9">
        <v>72.4</v>
      </c>
      <c r="D285" s="9">
        <v>73</v>
      </c>
      <c r="E285" s="9">
        <f t="shared" si="7"/>
        <v>145.4</v>
      </c>
      <c r="G285" s="10"/>
    </row>
    <row r="286" spans="1:7" ht="22.5" customHeight="1">
      <c r="A286" s="8" t="s">
        <v>88</v>
      </c>
      <c r="B286" s="8" t="str">
        <f>"20200305028"</f>
        <v>20200305028</v>
      </c>
      <c r="C286" s="9">
        <v>57.8</v>
      </c>
      <c r="D286" s="9">
        <v>71</v>
      </c>
      <c r="E286" s="9">
        <f t="shared" si="7"/>
        <v>128.8</v>
      </c>
      <c r="G286" s="10"/>
    </row>
    <row r="287" spans="1:7" ht="22.5" customHeight="1">
      <c r="A287" s="8" t="s">
        <v>88</v>
      </c>
      <c r="B287" s="8" t="str">
        <f>"20200305024"</f>
        <v>20200305024</v>
      </c>
      <c r="C287" s="9">
        <v>56.2</v>
      </c>
      <c r="D287" s="9">
        <v>71.5</v>
      </c>
      <c r="E287" s="9">
        <f t="shared" si="7"/>
        <v>127.7</v>
      </c>
      <c r="G287" s="10"/>
    </row>
    <row r="288" spans="1:7" ht="22.5" customHeight="1">
      <c r="A288" s="8" t="s">
        <v>89</v>
      </c>
      <c r="B288" s="8" t="str">
        <f>"20200305111"</f>
        <v>20200305111</v>
      </c>
      <c r="C288" s="9">
        <v>63.4</v>
      </c>
      <c r="D288" s="9">
        <v>73.5</v>
      </c>
      <c r="E288" s="9">
        <f t="shared" si="7"/>
        <v>136.9</v>
      </c>
      <c r="G288" s="10"/>
    </row>
    <row r="289" spans="1:7" ht="22.5" customHeight="1">
      <c r="A289" s="8" t="s">
        <v>89</v>
      </c>
      <c r="B289" s="8" t="str">
        <f>"20200305107"</f>
        <v>20200305107</v>
      </c>
      <c r="C289" s="9">
        <v>51.5</v>
      </c>
      <c r="D289" s="9">
        <v>71</v>
      </c>
      <c r="E289" s="9">
        <f t="shared" si="7"/>
        <v>122.5</v>
      </c>
      <c r="G289" s="10"/>
    </row>
    <row r="290" spans="1:7" ht="22.5" customHeight="1">
      <c r="A290" s="8" t="s">
        <v>89</v>
      </c>
      <c r="B290" s="8" t="str">
        <f>"20200305114"</f>
        <v>20200305114</v>
      </c>
      <c r="C290" s="9">
        <v>49.7</v>
      </c>
      <c r="D290" s="9">
        <v>72.5</v>
      </c>
      <c r="E290" s="9">
        <f t="shared" si="7"/>
        <v>122.2</v>
      </c>
      <c r="G290" s="10"/>
    </row>
  </sheetData>
  <sheetProtection/>
  <mergeCells count="1">
    <mergeCell ref="A2:E2"/>
  </mergeCells>
  <printOptions horizontalCentered="1"/>
  <pageMargins left="0.4722222222222222" right="0.5902777777777778" top="0.5902777777777778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朱宁</cp:lastModifiedBy>
  <dcterms:created xsi:type="dcterms:W3CDTF">2020-07-25T04:30:21Z</dcterms:created>
  <dcterms:modified xsi:type="dcterms:W3CDTF">2020-09-02T02:06:51Z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