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<sst xmlns="http://schemas.openxmlformats.org/spreadsheetml/2006/main" count="453" uniqueCount="129">
  <si>
    <t>2019年市直部分事业单位公开招聘结构化面试岗位面试及合成成绩</t>
  </si>
  <si>
    <t>序号</t>
  </si>
  <si>
    <t>职位代码</t>
  </si>
  <si>
    <t>准考证号</t>
  </si>
  <si>
    <t>公共基础成绩</t>
  </si>
  <si>
    <t>申论或专业知识成绩</t>
  </si>
  <si>
    <t>笔试成绩</t>
  </si>
  <si>
    <t>面试成绩</t>
  </si>
  <si>
    <t>合成成绩</t>
  </si>
  <si>
    <t>备注</t>
  </si>
  <si>
    <t>70014-中共黄山市委党校</t>
  </si>
  <si>
    <t>70015-中共黄山市委党校</t>
  </si>
  <si>
    <t>缺考</t>
  </si>
  <si>
    <t xml:space="preserve"> </t>
  </si>
  <si>
    <t>70016-中共黄山市委党校</t>
  </si>
  <si>
    <t>70017-黄山风景区管委会办公室</t>
  </si>
  <si>
    <t>70018-黄山风景区管委会政治处</t>
  </si>
  <si>
    <t>70019-黄山风景区管委会政治处</t>
  </si>
  <si>
    <t>70020-黄山风景区宣传部（文明办）</t>
  </si>
  <si>
    <t>70021-黄山风景区管委会园林局</t>
  </si>
  <si>
    <t>70023-黄山风景区管委会规划土地处</t>
  </si>
  <si>
    <t>70024-黄山风景区管委会经济发展局（财政局）</t>
  </si>
  <si>
    <t>70025-黄山风景区综合执法局</t>
  </si>
  <si>
    <t>70026-黄山风景区交通局</t>
  </si>
  <si>
    <t>70027-黄山市广播电视台</t>
  </si>
  <si>
    <t>70028-黄山市广播电视台</t>
  </si>
  <si>
    <t>70029-黄山市广播电视台</t>
  </si>
  <si>
    <t>70030-黄山市广播电视台</t>
  </si>
  <si>
    <t>70031-黄山职业技术学院</t>
  </si>
  <si>
    <t>70032-黄山职业技术学院</t>
  </si>
  <si>
    <t>70033-黄山职业技术学院</t>
  </si>
  <si>
    <t>70034-黄山职业技术学院</t>
  </si>
  <si>
    <t>70035-黄山职业技术学院</t>
  </si>
  <si>
    <t>70037-黄山日报社</t>
  </si>
  <si>
    <t>70038-黄山日报社</t>
  </si>
  <si>
    <t>70039-黄山日报社</t>
  </si>
  <si>
    <t>70040-黄山日报社</t>
  </si>
  <si>
    <t>70041-高铁北站地区综合管理办公室</t>
  </si>
  <si>
    <t>70042-高铁北站地区综合管理办公室</t>
  </si>
  <si>
    <t>70043-高铁北站地区综合管理办公室</t>
  </si>
  <si>
    <t>70044-黄山市住房公积金管理中心（含区县管理部）</t>
  </si>
  <si>
    <t>70045-黄山市林木种苗站</t>
  </si>
  <si>
    <t>70046-黄山市林业科学研究所</t>
  </si>
  <si>
    <t>70048-黄山市环境监测站</t>
  </si>
  <si>
    <t>70049-黄山市环境监测站</t>
  </si>
  <si>
    <t>70050-黄山市特种设备监督检验中心</t>
  </si>
  <si>
    <t>70051-黄山市产品质量检验所</t>
  </si>
  <si>
    <t>70052-黄山市计量检定测试所</t>
  </si>
  <si>
    <t>70053-黄山市食品药品检验中心</t>
  </si>
  <si>
    <t>70054-黄山市食品药品检验中心</t>
  </si>
  <si>
    <t>70055-黄山市水利水电建设管理站</t>
  </si>
  <si>
    <t>违纪</t>
  </si>
  <si>
    <t>70056-黄山市水利水保监督站</t>
  </si>
  <si>
    <t>70057-黄山市水利水保监督站</t>
  </si>
  <si>
    <t>70058-黄山市水电勘测设计院</t>
  </si>
  <si>
    <t>70059-黄山市水电勘测设计院</t>
  </si>
  <si>
    <t>70060-黄山市月潭水库管理处</t>
  </si>
  <si>
    <t>70061-黄山市月潭水库管理处</t>
  </si>
  <si>
    <t>70062-黄山市月潭水库管理处</t>
  </si>
  <si>
    <t>70063-黄山市月潭水库管理处</t>
  </si>
  <si>
    <t>70064-黄山市月潭水库管理处</t>
  </si>
  <si>
    <t>70065-黄山市月潭水库管理处</t>
  </si>
  <si>
    <t>70066-黄山市月潭水库管理处</t>
  </si>
  <si>
    <t>70067-黄山市月潭水库管理处</t>
  </si>
  <si>
    <t>70068-黄山市月潭水库管理处</t>
  </si>
  <si>
    <t>70069-黄山市月潭水库管理处</t>
  </si>
  <si>
    <t>70070-黄山市月潭水库管理处</t>
  </si>
  <si>
    <t>70072-黄山市月潭水库管理处</t>
  </si>
  <si>
    <t>70073-黄山市月潭水库管理处</t>
  </si>
  <si>
    <t>70075-黄山市农业技术推广中心</t>
  </si>
  <si>
    <t>70076-黄山市农业技术推广中心</t>
  </si>
  <si>
    <t>70077-黄山市农业技术推广中心</t>
  </si>
  <si>
    <t>70078-黄山市农业技术推广中心</t>
  </si>
  <si>
    <t>70079-黄山市农业技术推广中心</t>
  </si>
  <si>
    <t>70080-黄山市水产站</t>
  </si>
  <si>
    <t>70081-黄山市图书馆</t>
  </si>
  <si>
    <t>70082-黄山市图书馆</t>
  </si>
  <si>
    <t>70084-安徽中国徽州文化博物馆</t>
  </si>
  <si>
    <t>70085-安徽中国徽州文化博物馆</t>
  </si>
  <si>
    <t>70086-安徽中国徽州文化博物馆</t>
  </si>
  <si>
    <t>70087-黄山市文化馆</t>
  </si>
  <si>
    <t>70088-黄山市徽剧院</t>
  </si>
  <si>
    <t>70089-黄山市救助管理站</t>
  </si>
  <si>
    <t>70090-黄山市福利彩票发行中心</t>
  </si>
  <si>
    <t>70091-黄山市退役军人服务管理中心</t>
  </si>
  <si>
    <t>70092-黄山市退役军人服务管理中心</t>
  </si>
  <si>
    <t>70093-黄山市农村公路管理处</t>
  </si>
  <si>
    <t>70095-黄山仲裁委员会秘书处</t>
  </si>
  <si>
    <t>70096-黄山市人防指挥信息保障中心</t>
  </si>
  <si>
    <t>70097-黄山市预防职务犯罪警示教育基地管理中心</t>
  </si>
  <si>
    <t>70098-黄山市中医医院</t>
  </si>
  <si>
    <t>70101-黄山市第二人民医院</t>
  </si>
  <si>
    <t>70102-黄山市第二人民医院</t>
  </si>
  <si>
    <t>70103-黄山市第二人民医院</t>
  </si>
  <si>
    <t>70104-黄山市第二人民医院</t>
  </si>
  <si>
    <t>70105-黄山市第二人民医院</t>
  </si>
  <si>
    <t>70106-黄山市第二人民医院</t>
  </si>
  <si>
    <t>70107-黄山市疾病预防控制中心</t>
  </si>
  <si>
    <t>70108-黄山市疾病预防控制中心</t>
  </si>
  <si>
    <t>70109-黄山市疾病预防控制中心</t>
  </si>
  <si>
    <t>70110-黄山市卫生局卫生监督所</t>
  </si>
  <si>
    <t>70111-黄山市卫生局卫生监督所</t>
  </si>
  <si>
    <t>70112-黄山市新安医学研究中心</t>
  </si>
  <si>
    <t>70113-黄山市妇幼保健计划生育服务中心</t>
  </si>
  <si>
    <t>70114-黄山市妇幼保健计划生育服务中心</t>
  </si>
  <si>
    <t>70115-黄山市妇幼保健计划生育服务中心</t>
  </si>
  <si>
    <t>70116-黄山市妇幼保健计划生育服务中心</t>
  </si>
  <si>
    <t>70117-黄山市妇幼保健计划生育服务中心</t>
  </si>
  <si>
    <t>70118-黄山市妇幼保健计划生育服务中心</t>
  </si>
  <si>
    <t>70119-黄山市公共资源交易中心</t>
  </si>
  <si>
    <t>70120-黄山市建设工程质量监督站</t>
  </si>
  <si>
    <t>70121-黄山市住房租赁保障管理中心</t>
  </si>
  <si>
    <t>70122-黄山市住房租赁保障管理中心</t>
  </si>
  <si>
    <t>70123-黄山市物业管理办公室</t>
  </si>
  <si>
    <t>70124-黄山市物业管理办公室</t>
  </si>
  <si>
    <t>70125-黄山市房地产交易中心</t>
  </si>
  <si>
    <t>70126-黄山市信息资源管理中心</t>
  </si>
  <si>
    <t>70127-黄山市市民服务中心</t>
  </si>
  <si>
    <t>70128-黄山市市民服务中心</t>
  </si>
  <si>
    <t>70144-黄山现代服务业产业园投资服务中心</t>
  </si>
  <si>
    <t>70145-黄山现代服务业产业园投资服务中心</t>
  </si>
  <si>
    <t>70146-黄山市扶贫开发信息管理中心</t>
  </si>
  <si>
    <t>70147-黄山市医疗保险基金管理中心</t>
  </si>
  <si>
    <t>70148-黄山市新型农村合作医疗管理局</t>
  </si>
  <si>
    <t>70149-黄山市新型农村合作医疗管理局</t>
  </si>
  <si>
    <t>70151-黄山市不动产登记中心</t>
  </si>
  <si>
    <t>70152-黄山市招商服务中心</t>
  </si>
  <si>
    <t>70153-黄山市招商服务中心</t>
  </si>
  <si>
    <t>70154-黄山市招商服务中心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</si>
</sst>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color indexed="8"/>
      <name val="方正小标宋简体"/>
      <family val="4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4"/>
      <color theme="1"/>
      <name val="方正小标宋简体"/>
      <family val="4"/>
    </font>
    <font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43" fontId="7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11" borderId="0" applyNumberFormat="0" applyBorder="0" applyAlignment="0" applyProtection="0"/>
    <xf numFmtId="0" fontId="33" fillId="0" borderId="4" applyNumberFormat="0" applyFill="0" applyAlignment="0" applyProtection="0"/>
    <xf numFmtId="0" fontId="30" fillId="12" borderId="0" applyNumberFormat="0" applyBorder="0" applyAlignment="0" applyProtection="0"/>
    <xf numFmtId="0" fontId="39" fillId="5" borderId="5" applyNumberFormat="0" applyAlignment="0" applyProtection="0"/>
    <xf numFmtId="0" fontId="28" fillId="5" borderId="1" applyNumberFormat="0" applyAlignment="0" applyProtection="0"/>
    <xf numFmtId="0" fontId="40" fillId="13" borderId="6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7" applyNumberFormat="0" applyFill="0" applyAlignment="0" applyProtection="0"/>
    <xf numFmtId="0" fontId="0" fillId="17" borderId="0" applyNumberFormat="0" applyBorder="0" applyAlignment="0" applyProtection="0"/>
    <xf numFmtId="0" fontId="42" fillId="0" borderId="8" applyNumberFormat="0" applyFill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30" fillId="12" borderId="0" applyNumberFormat="0" applyBorder="0" applyAlignment="0" applyProtection="0"/>
    <xf numFmtId="0" fontId="39" fillId="5" borderId="5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0" fillId="28" borderId="0" applyNumberFormat="0" applyBorder="0" applyAlignment="0" applyProtection="0"/>
    <xf numFmtId="0" fontId="0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3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0" borderId="0">
      <alignment/>
      <protection/>
    </xf>
    <xf numFmtId="0" fontId="26" fillId="0" borderId="0">
      <alignment vertical="center"/>
      <protection/>
    </xf>
    <xf numFmtId="0" fontId="43" fillId="18" borderId="0" applyNumberFormat="0" applyBorder="0" applyAlignment="0" applyProtection="0"/>
    <xf numFmtId="0" fontId="46" fillId="13" borderId="6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7" fillId="9" borderId="2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90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</cellXfs>
  <cellStyles count="8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5" xfId="88"/>
    <cellStyle name="差 2" xfId="89"/>
    <cellStyle name="常规 2" xfId="90"/>
    <cellStyle name="常规 4" xfId="91"/>
    <cellStyle name="好 2" xfId="92"/>
    <cellStyle name="检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tabSelected="1" zoomScale="115" zoomScaleNormal="115" workbookViewId="0" topLeftCell="A1">
      <selection activeCell="L6" sqref="L6"/>
    </sheetView>
  </sheetViews>
  <sheetFormatPr defaultColWidth="9.00390625" defaultRowHeight="15"/>
  <cols>
    <col min="1" max="1" width="9.00390625" style="3" customWidth="1"/>
    <col min="2" max="2" width="35.00390625" style="4" customWidth="1"/>
    <col min="3" max="3" width="13.8515625" style="5" customWidth="1"/>
    <col min="4" max="4" width="7.28125" style="5" hidden="1" customWidth="1"/>
    <col min="5" max="5" width="10.421875" style="5" hidden="1" customWidth="1"/>
    <col min="6" max="6" width="9.421875" style="6" customWidth="1"/>
    <col min="7" max="7" width="13.140625" style="7" customWidth="1"/>
    <col min="8" max="8" width="18.00390625" style="8" customWidth="1"/>
    <col min="9" max="16384" width="9.00390625" style="3" customWidth="1"/>
  </cols>
  <sheetData>
    <row r="1" spans="1:9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9.25" customHeight="1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0" t="s">
        <v>9</v>
      </c>
    </row>
    <row r="3" spans="1:9" s="2" customFormat="1" ht="20.25" customHeight="1">
      <c r="A3" s="10">
        <v>1</v>
      </c>
      <c r="B3" s="11" t="s">
        <v>10</v>
      </c>
      <c r="C3" s="10" t="str">
        <f>"890101010101"</f>
        <v>890101010101</v>
      </c>
      <c r="D3" s="10">
        <v>73</v>
      </c>
      <c r="E3" s="10">
        <v>63</v>
      </c>
      <c r="F3" s="14">
        <f aca="true" t="shared" si="0" ref="F3:F66">D3*0.45+E3*0.55</f>
        <v>67.5</v>
      </c>
      <c r="G3" s="14">
        <v>75.7</v>
      </c>
      <c r="H3" s="16">
        <f>F3*0.55+G3*0.45</f>
        <v>71.19</v>
      </c>
      <c r="I3" s="17"/>
    </row>
    <row r="4" spans="1:9" s="2" customFormat="1" ht="20.25" customHeight="1">
      <c r="A4" s="10">
        <v>2</v>
      </c>
      <c r="B4" s="11" t="s">
        <v>10</v>
      </c>
      <c r="C4" s="10" t="str">
        <f>"890109010109"</f>
        <v>890109010109</v>
      </c>
      <c r="D4" s="10">
        <v>71</v>
      </c>
      <c r="E4" s="10">
        <v>49</v>
      </c>
      <c r="F4" s="14">
        <f t="shared" si="0"/>
        <v>58.900000000000006</v>
      </c>
      <c r="G4" s="15">
        <v>75.7</v>
      </c>
      <c r="H4" s="16">
        <f>F4*0.55+G4*0.45</f>
        <v>66.46000000000001</v>
      </c>
      <c r="I4" s="17"/>
    </row>
    <row r="5" spans="1:9" s="2" customFormat="1" ht="20.25" customHeight="1">
      <c r="A5" s="10">
        <v>3</v>
      </c>
      <c r="B5" s="11" t="s">
        <v>11</v>
      </c>
      <c r="C5" s="10" t="str">
        <f>"890110010110"</f>
        <v>890110010110</v>
      </c>
      <c r="D5" s="10">
        <v>73</v>
      </c>
      <c r="E5" s="10">
        <v>74</v>
      </c>
      <c r="F5" s="14">
        <f t="shared" si="0"/>
        <v>73.55000000000001</v>
      </c>
      <c r="G5" s="15">
        <v>74.9</v>
      </c>
      <c r="H5" s="16">
        <f>F5*0.55+G5*0.45</f>
        <v>74.15750000000001</v>
      </c>
      <c r="I5" s="17"/>
    </row>
    <row r="6" spans="1:9" s="2" customFormat="1" ht="20.25" customHeight="1">
      <c r="A6" s="10">
        <v>4</v>
      </c>
      <c r="B6" s="11" t="s">
        <v>11</v>
      </c>
      <c r="C6" s="10" t="str">
        <f>"890115010115"</f>
        <v>890115010115</v>
      </c>
      <c r="D6" s="10">
        <v>80</v>
      </c>
      <c r="E6" s="10">
        <v>56</v>
      </c>
      <c r="F6" s="14">
        <f t="shared" si="0"/>
        <v>66.80000000000001</v>
      </c>
      <c r="G6" s="15">
        <v>78.3</v>
      </c>
      <c r="H6" s="16">
        <f>F6*0.55+G6*0.45</f>
        <v>71.97500000000001</v>
      </c>
      <c r="I6" s="17"/>
    </row>
    <row r="7" spans="1:9" s="2" customFormat="1" ht="20.25" customHeight="1">
      <c r="A7" s="10">
        <v>5</v>
      </c>
      <c r="B7" s="11" t="s">
        <v>11</v>
      </c>
      <c r="C7" s="10" t="str">
        <f>"890123010123"</f>
        <v>890123010123</v>
      </c>
      <c r="D7" s="10">
        <v>77</v>
      </c>
      <c r="E7" s="10">
        <v>63</v>
      </c>
      <c r="F7" s="14">
        <f t="shared" si="0"/>
        <v>69.30000000000001</v>
      </c>
      <c r="G7" s="11" t="s">
        <v>12</v>
      </c>
      <c r="H7" s="16" t="s">
        <v>13</v>
      </c>
      <c r="I7" s="17"/>
    </row>
    <row r="8" spans="1:9" s="2" customFormat="1" ht="20.25" customHeight="1">
      <c r="A8" s="10">
        <v>6</v>
      </c>
      <c r="B8" s="11" t="s">
        <v>14</v>
      </c>
      <c r="C8" s="10" t="str">
        <f>"890127010127"</f>
        <v>890127010127</v>
      </c>
      <c r="D8" s="10">
        <v>85</v>
      </c>
      <c r="E8" s="10">
        <v>63</v>
      </c>
      <c r="F8" s="14">
        <f t="shared" si="0"/>
        <v>72.9</v>
      </c>
      <c r="G8" s="15">
        <v>75.3</v>
      </c>
      <c r="H8" s="16">
        <f>F8*0.55+G8*0.45</f>
        <v>73.98</v>
      </c>
      <c r="I8" s="17"/>
    </row>
    <row r="9" spans="1:9" s="2" customFormat="1" ht="20.25" customHeight="1">
      <c r="A9" s="10">
        <v>7</v>
      </c>
      <c r="B9" s="11" t="s">
        <v>14</v>
      </c>
      <c r="C9" s="10" t="str">
        <f>"890201010201"</f>
        <v>890201010201</v>
      </c>
      <c r="D9" s="10">
        <v>85</v>
      </c>
      <c r="E9" s="10">
        <v>58</v>
      </c>
      <c r="F9" s="14">
        <f t="shared" si="0"/>
        <v>70.15</v>
      </c>
      <c r="G9" s="15">
        <v>74.7</v>
      </c>
      <c r="H9" s="16">
        <f>F9*0.55+G9*0.45</f>
        <v>72.1975</v>
      </c>
      <c r="I9" s="17"/>
    </row>
    <row r="10" spans="1:9" s="2" customFormat="1" ht="20.25" customHeight="1">
      <c r="A10" s="10">
        <v>8</v>
      </c>
      <c r="B10" s="11" t="s">
        <v>14</v>
      </c>
      <c r="C10" s="10" t="str">
        <f>"890124010124"</f>
        <v>890124010124</v>
      </c>
      <c r="D10" s="10">
        <v>74</v>
      </c>
      <c r="E10" s="10">
        <v>64</v>
      </c>
      <c r="F10" s="14">
        <f t="shared" si="0"/>
        <v>68.5</v>
      </c>
      <c r="G10" s="11" t="s">
        <v>12</v>
      </c>
      <c r="H10" s="16" t="s">
        <v>13</v>
      </c>
      <c r="I10" s="17"/>
    </row>
    <row r="11" spans="1:9" s="2" customFormat="1" ht="20.25" customHeight="1">
      <c r="A11" s="10">
        <v>9</v>
      </c>
      <c r="B11" s="11" t="s">
        <v>15</v>
      </c>
      <c r="C11" s="10" t="str">
        <f>"890212010212"</f>
        <v>890212010212</v>
      </c>
      <c r="D11" s="10">
        <v>73</v>
      </c>
      <c r="E11" s="10">
        <v>65</v>
      </c>
      <c r="F11" s="14">
        <f t="shared" si="0"/>
        <v>68.6</v>
      </c>
      <c r="G11" s="15">
        <v>74.3</v>
      </c>
      <c r="H11" s="16">
        <f>F11*0.55+G11*0.45</f>
        <v>71.16499999999999</v>
      </c>
      <c r="I11" s="17"/>
    </row>
    <row r="12" spans="1:9" s="2" customFormat="1" ht="20.25" customHeight="1">
      <c r="A12" s="10">
        <v>10</v>
      </c>
      <c r="B12" s="11" t="s">
        <v>15</v>
      </c>
      <c r="C12" s="10" t="str">
        <f>"890228010228"</f>
        <v>890228010228</v>
      </c>
      <c r="D12" s="10">
        <v>75</v>
      </c>
      <c r="E12" s="10">
        <v>67</v>
      </c>
      <c r="F12" s="14">
        <f t="shared" si="0"/>
        <v>70.6</v>
      </c>
      <c r="G12" s="11" t="s">
        <v>12</v>
      </c>
      <c r="H12" s="16" t="s">
        <v>13</v>
      </c>
      <c r="I12" s="17"/>
    </row>
    <row r="13" spans="1:9" s="2" customFormat="1" ht="20.25" customHeight="1">
      <c r="A13" s="10">
        <v>11</v>
      </c>
      <c r="B13" s="11" t="s">
        <v>15</v>
      </c>
      <c r="C13" s="10" t="str">
        <f>"890219010219"</f>
        <v>890219010219</v>
      </c>
      <c r="D13" s="10">
        <v>73</v>
      </c>
      <c r="E13" s="10">
        <v>66</v>
      </c>
      <c r="F13" s="14">
        <f t="shared" si="0"/>
        <v>69.15</v>
      </c>
      <c r="G13" s="11" t="s">
        <v>12</v>
      </c>
      <c r="H13" s="16" t="s">
        <v>13</v>
      </c>
      <c r="I13" s="17"/>
    </row>
    <row r="14" spans="1:9" s="2" customFormat="1" ht="20.25" customHeight="1">
      <c r="A14" s="10">
        <v>12</v>
      </c>
      <c r="B14" s="11" t="s">
        <v>16</v>
      </c>
      <c r="C14" s="10" t="str">
        <f>"890322010322"</f>
        <v>890322010322</v>
      </c>
      <c r="D14" s="10">
        <v>72</v>
      </c>
      <c r="E14" s="10">
        <v>71</v>
      </c>
      <c r="F14" s="14">
        <f t="shared" si="0"/>
        <v>71.45</v>
      </c>
      <c r="G14" s="15">
        <v>76.4</v>
      </c>
      <c r="H14" s="16">
        <f aca="true" t="shared" si="1" ref="H14:H22">F14*0.55+G14*0.45</f>
        <v>73.67750000000001</v>
      </c>
      <c r="I14" s="17"/>
    </row>
    <row r="15" spans="1:9" s="2" customFormat="1" ht="20.25" customHeight="1">
      <c r="A15" s="10">
        <v>13</v>
      </c>
      <c r="B15" s="11" t="s">
        <v>16</v>
      </c>
      <c r="C15" s="10" t="str">
        <f>"890319010319"</f>
        <v>890319010319</v>
      </c>
      <c r="D15" s="10">
        <v>83</v>
      </c>
      <c r="E15" s="10">
        <v>60</v>
      </c>
      <c r="F15" s="14">
        <f t="shared" si="0"/>
        <v>70.35</v>
      </c>
      <c r="G15" s="15">
        <v>77</v>
      </c>
      <c r="H15" s="16">
        <f t="shared" si="1"/>
        <v>73.3425</v>
      </c>
      <c r="I15" s="17"/>
    </row>
    <row r="16" spans="1:9" s="2" customFormat="1" ht="20.25" customHeight="1">
      <c r="A16" s="10">
        <v>14</v>
      </c>
      <c r="B16" s="11" t="s">
        <v>16</v>
      </c>
      <c r="C16" s="10" t="str">
        <f>"890305010305"</f>
        <v>890305010305</v>
      </c>
      <c r="D16" s="10">
        <v>87</v>
      </c>
      <c r="E16" s="10">
        <v>50</v>
      </c>
      <c r="F16" s="14">
        <f t="shared" si="0"/>
        <v>66.65</v>
      </c>
      <c r="G16" s="15">
        <v>76</v>
      </c>
      <c r="H16" s="16">
        <f t="shared" si="1"/>
        <v>70.85750000000002</v>
      </c>
      <c r="I16" s="17"/>
    </row>
    <row r="17" spans="1:9" s="2" customFormat="1" ht="20.25" customHeight="1">
      <c r="A17" s="10">
        <v>15</v>
      </c>
      <c r="B17" s="11" t="s">
        <v>17</v>
      </c>
      <c r="C17" s="10" t="str">
        <f>"890102230102"</f>
        <v>890102230102</v>
      </c>
      <c r="D17" s="10">
        <v>59</v>
      </c>
      <c r="E17" s="10">
        <v>50</v>
      </c>
      <c r="F17" s="14">
        <f t="shared" si="0"/>
        <v>54.050000000000004</v>
      </c>
      <c r="G17" s="15">
        <v>74.4</v>
      </c>
      <c r="H17" s="16">
        <f t="shared" si="1"/>
        <v>63.20750000000001</v>
      </c>
      <c r="I17" s="17"/>
    </row>
    <row r="18" spans="1:9" s="2" customFormat="1" ht="20.25" customHeight="1">
      <c r="A18" s="10">
        <v>16</v>
      </c>
      <c r="B18" s="11" t="s">
        <v>18</v>
      </c>
      <c r="C18" s="10" t="str">
        <f>"890412010412"</f>
        <v>890412010412</v>
      </c>
      <c r="D18" s="10">
        <v>72</v>
      </c>
      <c r="E18" s="10">
        <v>64</v>
      </c>
      <c r="F18" s="14">
        <f t="shared" si="0"/>
        <v>67.6</v>
      </c>
      <c r="G18" s="15">
        <v>75.1</v>
      </c>
      <c r="H18" s="16">
        <f t="shared" si="1"/>
        <v>70.975</v>
      </c>
      <c r="I18" s="17"/>
    </row>
    <row r="19" spans="1:9" s="2" customFormat="1" ht="20.25" customHeight="1">
      <c r="A19" s="10">
        <v>17</v>
      </c>
      <c r="B19" s="11" t="s">
        <v>18</v>
      </c>
      <c r="C19" s="10" t="str">
        <f>"890407010407"</f>
        <v>890407010407</v>
      </c>
      <c r="D19" s="10">
        <v>80</v>
      </c>
      <c r="E19" s="10">
        <v>53</v>
      </c>
      <c r="F19" s="14">
        <f t="shared" si="0"/>
        <v>65.15</v>
      </c>
      <c r="G19" s="15">
        <v>75.8</v>
      </c>
      <c r="H19" s="16">
        <f t="shared" si="1"/>
        <v>69.9425</v>
      </c>
      <c r="I19" s="17"/>
    </row>
    <row r="20" spans="1:9" s="2" customFormat="1" ht="20.25" customHeight="1">
      <c r="A20" s="10">
        <v>18</v>
      </c>
      <c r="B20" s="11" t="s">
        <v>18</v>
      </c>
      <c r="C20" s="10" t="str">
        <f>"890402010402"</f>
        <v>890402010402</v>
      </c>
      <c r="D20" s="10">
        <v>68</v>
      </c>
      <c r="E20" s="10">
        <v>63</v>
      </c>
      <c r="F20" s="14">
        <f t="shared" si="0"/>
        <v>65.25</v>
      </c>
      <c r="G20" s="15">
        <v>75.5</v>
      </c>
      <c r="H20" s="16">
        <f t="shared" si="1"/>
        <v>69.86250000000001</v>
      </c>
      <c r="I20" s="17"/>
    </row>
    <row r="21" spans="1:9" s="2" customFormat="1" ht="20.25" customHeight="1">
      <c r="A21" s="10">
        <v>19</v>
      </c>
      <c r="B21" s="11" t="s">
        <v>19</v>
      </c>
      <c r="C21" s="10" t="str">
        <f>"890416010416"</f>
        <v>890416010416</v>
      </c>
      <c r="D21" s="10">
        <v>74</v>
      </c>
      <c r="E21" s="10">
        <v>51</v>
      </c>
      <c r="F21" s="14">
        <f t="shared" si="0"/>
        <v>61.35000000000001</v>
      </c>
      <c r="G21" s="15">
        <v>77</v>
      </c>
      <c r="H21" s="16">
        <f t="shared" si="1"/>
        <v>68.39250000000001</v>
      </c>
      <c r="I21" s="17"/>
    </row>
    <row r="22" spans="1:9" s="2" customFormat="1" ht="20.25" customHeight="1">
      <c r="A22" s="10">
        <v>20</v>
      </c>
      <c r="B22" s="11" t="s">
        <v>19</v>
      </c>
      <c r="C22" s="10" t="str">
        <f>"890417010417"</f>
        <v>890417010417</v>
      </c>
      <c r="D22" s="10">
        <v>73</v>
      </c>
      <c r="E22" s="10">
        <v>50</v>
      </c>
      <c r="F22" s="14">
        <f t="shared" si="0"/>
        <v>60.35000000000001</v>
      </c>
      <c r="G22" s="15">
        <v>74.7</v>
      </c>
      <c r="H22" s="16">
        <f t="shared" si="1"/>
        <v>66.8075</v>
      </c>
      <c r="I22" s="17"/>
    </row>
    <row r="23" spans="1:9" s="2" customFormat="1" ht="20.25" customHeight="1">
      <c r="A23" s="10">
        <v>21</v>
      </c>
      <c r="B23" s="11" t="s">
        <v>19</v>
      </c>
      <c r="C23" s="10" t="str">
        <f>"890423010423"</f>
        <v>890423010423</v>
      </c>
      <c r="D23" s="10">
        <v>73</v>
      </c>
      <c r="E23" s="10">
        <v>45</v>
      </c>
      <c r="F23" s="14">
        <f t="shared" si="0"/>
        <v>57.60000000000001</v>
      </c>
      <c r="G23" s="11" t="s">
        <v>12</v>
      </c>
      <c r="H23" s="16" t="s">
        <v>13</v>
      </c>
      <c r="I23" s="17"/>
    </row>
    <row r="24" spans="1:9" s="1" customFormat="1" ht="20.25" customHeight="1">
      <c r="A24" s="10">
        <v>22</v>
      </c>
      <c r="B24" s="11" t="s">
        <v>20</v>
      </c>
      <c r="C24" s="10" t="str">
        <f>"890427010427"</f>
        <v>890427010427</v>
      </c>
      <c r="D24" s="10">
        <v>80</v>
      </c>
      <c r="E24" s="10">
        <v>56</v>
      </c>
      <c r="F24" s="14">
        <f t="shared" si="0"/>
        <v>66.80000000000001</v>
      </c>
      <c r="G24" s="15">
        <v>75.8</v>
      </c>
      <c r="H24" s="16">
        <f aca="true" t="shared" si="2" ref="H24:H37">F24*0.55+G24*0.45</f>
        <v>70.85000000000001</v>
      </c>
      <c r="I24" s="17"/>
    </row>
    <row r="25" spans="1:9" s="1" customFormat="1" ht="20.25" customHeight="1">
      <c r="A25" s="10">
        <v>23</v>
      </c>
      <c r="B25" s="11" t="s">
        <v>20</v>
      </c>
      <c r="C25" s="10" t="str">
        <f>"890503010503"</f>
        <v>890503010503</v>
      </c>
      <c r="D25" s="10">
        <v>71</v>
      </c>
      <c r="E25" s="10">
        <v>62</v>
      </c>
      <c r="F25" s="14">
        <f t="shared" si="0"/>
        <v>66.05</v>
      </c>
      <c r="G25" s="15">
        <v>75</v>
      </c>
      <c r="H25" s="16">
        <f t="shared" si="2"/>
        <v>70.0775</v>
      </c>
      <c r="I25" s="17"/>
    </row>
    <row r="26" spans="1:9" s="1" customFormat="1" ht="20.25" customHeight="1">
      <c r="A26" s="10">
        <v>24</v>
      </c>
      <c r="B26" s="11" t="s">
        <v>20</v>
      </c>
      <c r="C26" s="10" t="str">
        <f>"890428010428"</f>
        <v>890428010428</v>
      </c>
      <c r="D26" s="10">
        <v>74</v>
      </c>
      <c r="E26" s="10">
        <v>56</v>
      </c>
      <c r="F26" s="14">
        <f t="shared" si="0"/>
        <v>64.10000000000001</v>
      </c>
      <c r="G26" s="15">
        <v>73.5</v>
      </c>
      <c r="H26" s="16">
        <f t="shared" si="2"/>
        <v>68.33000000000001</v>
      </c>
      <c r="I26" s="17"/>
    </row>
    <row r="27" spans="1:9" s="1" customFormat="1" ht="20.25" customHeight="1">
      <c r="A27" s="10">
        <v>25</v>
      </c>
      <c r="B27" s="11" t="s">
        <v>21</v>
      </c>
      <c r="C27" s="10" t="str">
        <f>"890522010522"</f>
        <v>890522010522</v>
      </c>
      <c r="D27" s="10">
        <v>71</v>
      </c>
      <c r="E27" s="10">
        <v>69</v>
      </c>
      <c r="F27" s="14">
        <f t="shared" si="0"/>
        <v>69.9</v>
      </c>
      <c r="G27" s="15">
        <v>76.2</v>
      </c>
      <c r="H27" s="16">
        <f t="shared" si="2"/>
        <v>72.73500000000001</v>
      </c>
      <c r="I27" s="17"/>
    </row>
    <row r="28" spans="1:9" s="1" customFormat="1" ht="20.25" customHeight="1">
      <c r="A28" s="10">
        <v>26</v>
      </c>
      <c r="B28" s="11" t="s">
        <v>21</v>
      </c>
      <c r="C28" s="10" t="str">
        <f>"890518010518"</f>
        <v>890518010518</v>
      </c>
      <c r="D28" s="10">
        <v>63</v>
      </c>
      <c r="E28" s="10">
        <v>75</v>
      </c>
      <c r="F28" s="14">
        <f t="shared" si="0"/>
        <v>69.6</v>
      </c>
      <c r="G28" s="15">
        <v>74.8</v>
      </c>
      <c r="H28" s="16">
        <f t="shared" si="2"/>
        <v>71.94</v>
      </c>
      <c r="I28" s="17"/>
    </row>
    <row r="29" spans="1:9" s="1" customFormat="1" ht="20.25" customHeight="1">
      <c r="A29" s="10">
        <v>27</v>
      </c>
      <c r="B29" s="11" t="s">
        <v>21</v>
      </c>
      <c r="C29" s="10" t="str">
        <f>"890514010514"</f>
        <v>890514010514</v>
      </c>
      <c r="D29" s="10">
        <v>77</v>
      </c>
      <c r="E29" s="10">
        <v>60</v>
      </c>
      <c r="F29" s="14">
        <f t="shared" si="0"/>
        <v>67.65</v>
      </c>
      <c r="G29" s="15">
        <v>76.2</v>
      </c>
      <c r="H29" s="16">
        <f t="shared" si="2"/>
        <v>71.4975</v>
      </c>
      <c r="I29" s="17"/>
    </row>
    <row r="30" spans="1:9" s="1" customFormat="1" ht="20.25" customHeight="1">
      <c r="A30" s="10">
        <v>28</v>
      </c>
      <c r="B30" s="11" t="s">
        <v>22</v>
      </c>
      <c r="C30" s="10" t="str">
        <f>"890604010604"</f>
        <v>890604010604</v>
      </c>
      <c r="D30" s="10">
        <v>71</v>
      </c>
      <c r="E30" s="10">
        <v>65</v>
      </c>
      <c r="F30" s="14">
        <f t="shared" si="0"/>
        <v>67.7</v>
      </c>
      <c r="G30" s="15">
        <v>74</v>
      </c>
      <c r="H30" s="16">
        <f t="shared" si="2"/>
        <v>70.53500000000001</v>
      </c>
      <c r="I30" s="17"/>
    </row>
    <row r="31" spans="1:9" s="1" customFormat="1" ht="20.25" customHeight="1">
      <c r="A31" s="10">
        <v>29</v>
      </c>
      <c r="B31" s="11" t="s">
        <v>22</v>
      </c>
      <c r="C31" s="10" t="str">
        <f>"890605010605"</f>
        <v>890605010605</v>
      </c>
      <c r="D31" s="10">
        <v>77</v>
      </c>
      <c r="E31" s="10">
        <v>53</v>
      </c>
      <c r="F31" s="14">
        <f t="shared" si="0"/>
        <v>63.8</v>
      </c>
      <c r="G31" s="15">
        <v>72.6</v>
      </c>
      <c r="H31" s="16">
        <f t="shared" si="2"/>
        <v>67.76</v>
      </c>
      <c r="I31" s="17"/>
    </row>
    <row r="32" spans="1:9" s="1" customFormat="1" ht="20.25" customHeight="1">
      <c r="A32" s="10">
        <v>30</v>
      </c>
      <c r="B32" s="11" t="s">
        <v>22</v>
      </c>
      <c r="C32" s="10" t="str">
        <f>"890606010606"</f>
        <v>890606010606</v>
      </c>
      <c r="D32" s="10">
        <v>69</v>
      </c>
      <c r="E32" s="10">
        <v>51</v>
      </c>
      <c r="F32" s="14">
        <f t="shared" si="0"/>
        <v>59.1</v>
      </c>
      <c r="G32" s="15">
        <v>75.6</v>
      </c>
      <c r="H32" s="16">
        <f t="shared" si="2"/>
        <v>66.525</v>
      </c>
      <c r="I32" s="17"/>
    </row>
    <row r="33" spans="1:9" s="1" customFormat="1" ht="20.25" customHeight="1">
      <c r="A33" s="10">
        <v>31</v>
      </c>
      <c r="B33" s="11" t="s">
        <v>23</v>
      </c>
      <c r="C33" s="10" t="str">
        <f>"890630010630"</f>
        <v>890630010630</v>
      </c>
      <c r="D33" s="10">
        <v>75</v>
      </c>
      <c r="E33" s="10">
        <v>59</v>
      </c>
      <c r="F33" s="14">
        <f t="shared" si="0"/>
        <v>66.2</v>
      </c>
      <c r="G33" s="15">
        <v>76.6</v>
      </c>
      <c r="H33" s="16">
        <f t="shared" si="2"/>
        <v>70.88</v>
      </c>
      <c r="I33" s="17"/>
    </row>
    <row r="34" spans="1:9" s="1" customFormat="1" ht="20.25" customHeight="1">
      <c r="A34" s="10">
        <v>32</v>
      </c>
      <c r="B34" s="11" t="s">
        <v>23</v>
      </c>
      <c r="C34" s="10" t="str">
        <f>"890703010703"</f>
        <v>890703010703</v>
      </c>
      <c r="D34" s="10">
        <v>68</v>
      </c>
      <c r="E34" s="10">
        <v>66</v>
      </c>
      <c r="F34" s="14">
        <f t="shared" si="0"/>
        <v>66.9</v>
      </c>
      <c r="G34" s="15">
        <v>74.4</v>
      </c>
      <c r="H34" s="16">
        <f t="shared" si="2"/>
        <v>70.275</v>
      </c>
      <c r="I34" s="17"/>
    </row>
    <row r="35" spans="1:9" s="1" customFormat="1" ht="20.25" customHeight="1">
      <c r="A35" s="10">
        <v>33</v>
      </c>
      <c r="B35" s="11" t="s">
        <v>23</v>
      </c>
      <c r="C35" s="10" t="str">
        <f>"890709010709"</f>
        <v>890709010709</v>
      </c>
      <c r="D35" s="10">
        <v>73</v>
      </c>
      <c r="E35" s="10">
        <v>62</v>
      </c>
      <c r="F35" s="14">
        <f t="shared" si="0"/>
        <v>66.95</v>
      </c>
      <c r="G35" s="15">
        <v>73.6</v>
      </c>
      <c r="H35" s="16">
        <f t="shared" si="2"/>
        <v>69.9425</v>
      </c>
      <c r="I35" s="17"/>
    </row>
    <row r="36" spans="1:9" s="1" customFormat="1" ht="20.25" customHeight="1">
      <c r="A36" s="10">
        <v>34</v>
      </c>
      <c r="B36" s="11" t="s">
        <v>24</v>
      </c>
      <c r="C36" s="10" t="str">
        <f>"890417230417"</f>
        <v>890417230417</v>
      </c>
      <c r="D36" s="10">
        <v>75</v>
      </c>
      <c r="E36" s="10">
        <v>97</v>
      </c>
      <c r="F36" s="14">
        <f t="shared" si="0"/>
        <v>87.1</v>
      </c>
      <c r="G36" s="15">
        <v>76</v>
      </c>
      <c r="H36" s="16">
        <f t="shared" si="2"/>
        <v>82.105</v>
      </c>
      <c r="I36" s="17"/>
    </row>
    <row r="37" spans="1:9" s="1" customFormat="1" ht="20.25" customHeight="1">
      <c r="A37" s="10">
        <v>35</v>
      </c>
      <c r="B37" s="11" t="s">
        <v>24</v>
      </c>
      <c r="C37" s="10" t="str">
        <f>"890514230514"</f>
        <v>890514230514</v>
      </c>
      <c r="D37" s="10">
        <v>72</v>
      </c>
      <c r="E37" s="10">
        <v>96</v>
      </c>
      <c r="F37" s="14">
        <f t="shared" si="0"/>
        <v>85.2</v>
      </c>
      <c r="G37" s="15">
        <v>74</v>
      </c>
      <c r="H37" s="16">
        <f t="shared" si="2"/>
        <v>80.16000000000001</v>
      </c>
      <c r="I37" s="17"/>
    </row>
    <row r="38" spans="1:9" s="1" customFormat="1" ht="20.25" customHeight="1">
      <c r="A38" s="10">
        <v>36</v>
      </c>
      <c r="B38" s="11" t="s">
        <v>24</v>
      </c>
      <c r="C38" s="10" t="str">
        <f>"890403230403"</f>
        <v>890403230403</v>
      </c>
      <c r="D38" s="10">
        <v>78</v>
      </c>
      <c r="E38" s="10">
        <v>90</v>
      </c>
      <c r="F38" s="14">
        <f t="shared" si="0"/>
        <v>84.60000000000001</v>
      </c>
      <c r="G38" s="11" t="s">
        <v>12</v>
      </c>
      <c r="H38" s="16" t="s">
        <v>13</v>
      </c>
      <c r="I38" s="17"/>
    </row>
    <row r="39" spans="1:9" s="1" customFormat="1" ht="20.25" customHeight="1">
      <c r="A39" s="10">
        <v>37</v>
      </c>
      <c r="B39" s="11" t="s">
        <v>25</v>
      </c>
      <c r="C39" s="10" t="str">
        <f>"890717010717"</f>
        <v>890717010717</v>
      </c>
      <c r="D39" s="10">
        <v>75</v>
      </c>
      <c r="E39" s="10">
        <v>59</v>
      </c>
      <c r="F39" s="14">
        <f t="shared" si="0"/>
        <v>66.2</v>
      </c>
      <c r="G39" s="15">
        <v>79.6</v>
      </c>
      <c r="H39" s="16">
        <f aca="true" t="shared" si="3" ref="H39:H46">F39*0.55+G39*0.45</f>
        <v>72.23</v>
      </c>
      <c r="I39" s="17"/>
    </row>
    <row r="40" spans="1:9" s="1" customFormat="1" ht="20.25" customHeight="1">
      <c r="A40" s="10">
        <v>38</v>
      </c>
      <c r="B40" s="11" t="s">
        <v>25</v>
      </c>
      <c r="C40" s="10" t="str">
        <f>"890713010713"</f>
        <v>890713010713</v>
      </c>
      <c r="D40" s="10">
        <v>68</v>
      </c>
      <c r="E40" s="10">
        <v>64</v>
      </c>
      <c r="F40" s="14">
        <f t="shared" si="0"/>
        <v>65.80000000000001</v>
      </c>
      <c r="G40" s="15">
        <v>77.8</v>
      </c>
      <c r="H40" s="16">
        <f t="shared" si="3"/>
        <v>71.20000000000002</v>
      </c>
      <c r="I40" s="17"/>
    </row>
    <row r="41" spans="1:9" s="1" customFormat="1" ht="20.25" customHeight="1">
      <c r="A41" s="10">
        <v>39</v>
      </c>
      <c r="B41" s="11" t="s">
        <v>25</v>
      </c>
      <c r="C41" s="10" t="str">
        <f>"890714010714"</f>
        <v>890714010714</v>
      </c>
      <c r="D41" s="10">
        <v>69</v>
      </c>
      <c r="E41" s="10">
        <v>59</v>
      </c>
      <c r="F41" s="14">
        <f t="shared" si="0"/>
        <v>63.5</v>
      </c>
      <c r="G41" s="15">
        <v>72.8</v>
      </c>
      <c r="H41" s="16">
        <f t="shared" si="3"/>
        <v>67.685</v>
      </c>
      <c r="I41" s="17"/>
    </row>
    <row r="42" spans="1:9" s="1" customFormat="1" ht="20.25" customHeight="1">
      <c r="A42" s="10">
        <v>40</v>
      </c>
      <c r="B42" s="11" t="s">
        <v>26</v>
      </c>
      <c r="C42" s="10" t="str">
        <f>"890824010824"</f>
        <v>890824010824</v>
      </c>
      <c r="D42" s="10">
        <v>80</v>
      </c>
      <c r="E42" s="10">
        <v>69</v>
      </c>
      <c r="F42" s="14">
        <f t="shared" si="0"/>
        <v>73.95</v>
      </c>
      <c r="G42" s="15">
        <v>73.2</v>
      </c>
      <c r="H42" s="16">
        <f t="shared" si="3"/>
        <v>73.61250000000001</v>
      </c>
      <c r="I42" s="17"/>
    </row>
    <row r="43" spans="1:9" s="1" customFormat="1" ht="20.25" customHeight="1">
      <c r="A43" s="10">
        <v>41</v>
      </c>
      <c r="B43" s="11" t="s">
        <v>26</v>
      </c>
      <c r="C43" s="10" t="str">
        <f>"890811010811"</f>
        <v>890811010811</v>
      </c>
      <c r="D43" s="10">
        <v>80</v>
      </c>
      <c r="E43" s="10">
        <v>55</v>
      </c>
      <c r="F43" s="14">
        <f t="shared" si="0"/>
        <v>66.25</v>
      </c>
      <c r="G43" s="15">
        <v>79</v>
      </c>
      <c r="H43" s="16">
        <f t="shared" si="3"/>
        <v>71.98750000000001</v>
      </c>
      <c r="I43" s="17"/>
    </row>
    <row r="44" spans="1:9" s="1" customFormat="1" ht="20.25" customHeight="1">
      <c r="A44" s="10">
        <v>42</v>
      </c>
      <c r="B44" s="11" t="s">
        <v>26</v>
      </c>
      <c r="C44" s="10" t="str">
        <f>"890816010816"</f>
        <v>890816010816</v>
      </c>
      <c r="D44" s="10">
        <v>74</v>
      </c>
      <c r="E44" s="10">
        <v>62</v>
      </c>
      <c r="F44" s="14">
        <f t="shared" si="0"/>
        <v>67.4</v>
      </c>
      <c r="G44" s="15">
        <v>76.2</v>
      </c>
      <c r="H44" s="16">
        <f t="shared" si="3"/>
        <v>71.36000000000001</v>
      </c>
      <c r="I44" s="17"/>
    </row>
    <row r="45" spans="1:9" s="1" customFormat="1" ht="20.25" customHeight="1">
      <c r="A45" s="10">
        <v>43</v>
      </c>
      <c r="B45" s="11" t="s">
        <v>26</v>
      </c>
      <c r="C45" s="10" t="str">
        <f>"890830010830"</f>
        <v>890830010830</v>
      </c>
      <c r="D45" s="10">
        <v>81</v>
      </c>
      <c r="E45" s="10">
        <v>68</v>
      </c>
      <c r="F45" s="14">
        <f t="shared" si="0"/>
        <v>73.85000000000001</v>
      </c>
      <c r="G45" s="15">
        <v>67</v>
      </c>
      <c r="H45" s="16">
        <f t="shared" si="3"/>
        <v>70.76750000000001</v>
      </c>
      <c r="I45" s="17"/>
    </row>
    <row r="46" spans="1:9" s="1" customFormat="1" ht="20.25" customHeight="1">
      <c r="A46" s="10">
        <v>44</v>
      </c>
      <c r="B46" s="11" t="s">
        <v>26</v>
      </c>
      <c r="C46" s="10" t="str">
        <f>"890820010820"</f>
        <v>890820010820</v>
      </c>
      <c r="D46" s="10">
        <v>73</v>
      </c>
      <c r="E46" s="10">
        <v>60</v>
      </c>
      <c r="F46" s="14">
        <f t="shared" si="0"/>
        <v>65.85</v>
      </c>
      <c r="G46" s="15">
        <v>74.4</v>
      </c>
      <c r="H46" s="16">
        <f t="shared" si="3"/>
        <v>69.6975</v>
      </c>
      <c r="I46" s="17"/>
    </row>
    <row r="47" spans="1:9" s="2" customFormat="1" ht="20.25" customHeight="1">
      <c r="A47" s="10">
        <v>45</v>
      </c>
      <c r="B47" s="11" t="s">
        <v>26</v>
      </c>
      <c r="C47" s="10" t="str">
        <f>"890804010804"</f>
        <v>890804010804</v>
      </c>
      <c r="D47" s="10">
        <v>68</v>
      </c>
      <c r="E47" s="10">
        <v>71</v>
      </c>
      <c r="F47" s="14">
        <f t="shared" si="0"/>
        <v>69.65</v>
      </c>
      <c r="G47" s="11" t="s">
        <v>12</v>
      </c>
      <c r="H47" s="16" t="s">
        <v>13</v>
      </c>
      <c r="I47" s="17"/>
    </row>
    <row r="48" spans="1:9" s="2" customFormat="1" ht="20.25" customHeight="1">
      <c r="A48" s="10">
        <v>46</v>
      </c>
      <c r="B48" s="11" t="s">
        <v>27</v>
      </c>
      <c r="C48" s="10" t="str">
        <f>"890921010921"</f>
        <v>890921010921</v>
      </c>
      <c r="D48" s="10">
        <v>76</v>
      </c>
      <c r="E48" s="10">
        <v>54</v>
      </c>
      <c r="F48" s="14">
        <f t="shared" si="0"/>
        <v>63.900000000000006</v>
      </c>
      <c r="G48" s="15">
        <v>73.2</v>
      </c>
      <c r="H48" s="16">
        <f aca="true" t="shared" si="4" ref="H48:H57">F48*0.55+G48*0.45</f>
        <v>68.08500000000001</v>
      </c>
      <c r="I48" s="17"/>
    </row>
    <row r="49" spans="1:9" s="2" customFormat="1" ht="20.25" customHeight="1">
      <c r="A49" s="10">
        <v>47</v>
      </c>
      <c r="B49" s="11" t="s">
        <v>27</v>
      </c>
      <c r="C49" s="10" t="str">
        <f>"890925010925"</f>
        <v>890925010925</v>
      </c>
      <c r="D49" s="10">
        <v>78</v>
      </c>
      <c r="E49" s="10">
        <v>51</v>
      </c>
      <c r="F49" s="14">
        <f t="shared" si="0"/>
        <v>63.150000000000006</v>
      </c>
      <c r="G49" s="15">
        <v>73.8</v>
      </c>
      <c r="H49" s="16">
        <f t="shared" si="4"/>
        <v>67.94250000000001</v>
      </c>
      <c r="I49" s="17"/>
    </row>
    <row r="50" spans="1:9" s="2" customFormat="1" ht="20.25" customHeight="1">
      <c r="A50" s="10">
        <v>48</v>
      </c>
      <c r="B50" s="11" t="s">
        <v>27</v>
      </c>
      <c r="C50" s="10" t="str">
        <f>"890919010919"</f>
        <v>890919010919</v>
      </c>
      <c r="D50" s="10">
        <v>74</v>
      </c>
      <c r="E50" s="10">
        <v>54</v>
      </c>
      <c r="F50" s="14">
        <f t="shared" si="0"/>
        <v>63.00000000000001</v>
      </c>
      <c r="G50" s="15">
        <v>73.4</v>
      </c>
      <c r="H50" s="16">
        <f t="shared" si="4"/>
        <v>67.68</v>
      </c>
      <c r="I50" s="17"/>
    </row>
    <row r="51" spans="1:9" s="2" customFormat="1" ht="20.25" customHeight="1">
      <c r="A51" s="10">
        <v>49</v>
      </c>
      <c r="B51" s="11" t="s">
        <v>28</v>
      </c>
      <c r="C51" s="10" t="str">
        <f>"891015011015"</f>
        <v>891015011015</v>
      </c>
      <c r="D51" s="10">
        <v>76</v>
      </c>
      <c r="E51" s="10">
        <v>64</v>
      </c>
      <c r="F51" s="14">
        <f t="shared" si="0"/>
        <v>69.4</v>
      </c>
      <c r="G51" s="15">
        <v>75.6</v>
      </c>
      <c r="H51" s="16">
        <f t="shared" si="4"/>
        <v>72.19</v>
      </c>
      <c r="I51" s="17"/>
    </row>
    <row r="52" spans="1:9" s="2" customFormat="1" ht="20.25" customHeight="1">
      <c r="A52" s="10">
        <v>50</v>
      </c>
      <c r="B52" s="11" t="s">
        <v>28</v>
      </c>
      <c r="C52" s="10" t="str">
        <f>"891007011007"</f>
        <v>891007011007</v>
      </c>
      <c r="D52" s="10">
        <v>68</v>
      </c>
      <c r="E52" s="10">
        <v>64</v>
      </c>
      <c r="F52" s="14">
        <f t="shared" si="0"/>
        <v>65.80000000000001</v>
      </c>
      <c r="G52" s="15">
        <v>74.4</v>
      </c>
      <c r="H52" s="16">
        <f t="shared" si="4"/>
        <v>69.67000000000002</v>
      </c>
      <c r="I52" s="17"/>
    </row>
    <row r="53" spans="1:9" s="2" customFormat="1" ht="20.25" customHeight="1">
      <c r="A53" s="10">
        <v>51</v>
      </c>
      <c r="B53" s="11" t="s">
        <v>28</v>
      </c>
      <c r="C53" s="10" t="str">
        <f>"891027011027"</f>
        <v>891027011027</v>
      </c>
      <c r="D53" s="10">
        <v>76</v>
      </c>
      <c r="E53" s="10">
        <v>60</v>
      </c>
      <c r="F53" s="14">
        <f t="shared" si="0"/>
        <v>67.2</v>
      </c>
      <c r="G53" s="15">
        <v>71.4</v>
      </c>
      <c r="H53" s="16">
        <f t="shared" si="4"/>
        <v>69.09</v>
      </c>
      <c r="I53" s="17"/>
    </row>
    <row r="54" spans="1:9" s="2" customFormat="1" ht="20.25" customHeight="1">
      <c r="A54" s="10">
        <v>52</v>
      </c>
      <c r="B54" s="11" t="s">
        <v>29</v>
      </c>
      <c r="C54" s="10" t="str">
        <f>"890529230529"</f>
        <v>890529230529</v>
      </c>
      <c r="D54" s="10">
        <v>72</v>
      </c>
      <c r="E54" s="10">
        <v>86</v>
      </c>
      <c r="F54" s="14">
        <f t="shared" si="0"/>
        <v>79.7</v>
      </c>
      <c r="G54" s="15">
        <v>75.8</v>
      </c>
      <c r="H54" s="16">
        <f t="shared" si="4"/>
        <v>77.94500000000001</v>
      </c>
      <c r="I54" s="17"/>
    </row>
    <row r="55" spans="1:9" s="2" customFormat="1" ht="20.25" customHeight="1">
      <c r="A55" s="10">
        <v>53</v>
      </c>
      <c r="B55" s="11" t="s">
        <v>29</v>
      </c>
      <c r="C55" s="10" t="str">
        <f>"890601230601"</f>
        <v>890601230601</v>
      </c>
      <c r="D55" s="10">
        <v>69</v>
      </c>
      <c r="E55" s="10">
        <v>89</v>
      </c>
      <c r="F55" s="14">
        <f t="shared" si="0"/>
        <v>80</v>
      </c>
      <c r="G55" s="15">
        <v>74.5</v>
      </c>
      <c r="H55" s="16">
        <f t="shared" si="4"/>
        <v>77.525</v>
      </c>
      <c r="I55" s="17"/>
    </row>
    <row r="56" spans="1:9" s="2" customFormat="1" ht="20.25" customHeight="1">
      <c r="A56" s="10">
        <v>54</v>
      </c>
      <c r="B56" s="11" t="s">
        <v>30</v>
      </c>
      <c r="C56" s="10" t="str">
        <f>"891101231101"</f>
        <v>891101231101</v>
      </c>
      <c r="D56" s="10">
        <v>75</v>
      </c>
      <c r="E56" s="10">
        <v>70</v>
      </c>
      <c r="F56" s="14">
        <f t="shared" si="0"/>
        <v>72.25</v>
      </c>
      <c r="G56" s="15">
        <v>74.2</v>
      </c>
      <c r="H56" s="16">
        <f t="shared" si="4"/>
        <v>73.1275</v>
      </c>
      <c r="I56" s="17"/>
    </row>
    <row r="57" spans="1:9" s="2" customFormat="1" ht="20.25" customHeight="1">
      <c r="A57" s="10">
        <v>55</v>
      </c>
      <c r="B57" s="11" t="s">
        <v>30</v>
      </c>
      <c r="C57" s="10" t="str">
        <f>"891106231106"</f>
        <v>891106231106</v>
      </c>
      <c r="D57" s="10">
        <v>73</v>
      </c>
      <c r="E57" s="10">
        <v>59</v>
      </c>
      <c r="F57" s="14">
        <f t="shared" si="0"/>
        <v>65.30000000000001</v>
      </c>
      <c r="G57" s="15">
        <v>75.5</v>
      </c>
      <c r="H57" s="16">
        <f t="shared" si="4"/>
        <v>69.89000000000001</v>
      </c>
      <c r="I57" s="17"/>
    </row>
    <row r="58" spans="1:9" s="2" customFormat="1" ht="20.25" customHeight="1">
      <c r="A58" s="10">
        <v>56</v>
      </c>
      <c r="B58" s="11" t="s">
        <v>30</v>
      </c>
      <c r="C58" s="10" t="str">
        <f>"891104231104"</f>
        <v>891104231104</v>
      </c>
      <c r="D58" s="10">
        <v>63</v>
      </c>
      <c r="E58" s="10">
        <v>50</v>
      </c>
      <c r="F58" s="14">
        <f t="shared" si="0"/>
        <v>55.85000000000001</v>
      </c>
      <c r="G58" s="11" t="s">
        <v>12</v>
      </c>
      <c r="H58" s="16" t="s">
        <v>13</v>
      </c>
      <c r="I58" s="17"/>
    </row>
    <row r="59" spans="1:9" s="2" customFormat="1" ht="20.25" customHeight="1">
      <c r="A59" s="10">
        <v>57</v>
      </c>
      <c r="B59" s="11" t="s">
        <v>31</v>
      </c>
      <c r="C59" s="10" t="str">
        <f>"891229011229"</f>
        <v>891229011229</v>
      </c>
      <c r="D59" s="10">
        <v>74</v>
      </c>
      <c r="E59" s="10">
        <v>71</v>
      </c>
      <c r="F59" s="14">
        <f t="shared" si="0"/>
        <v>72.35000000000001</v>
      </c>
      <c r="G59" s="15">
        <v>77.9</v>
      </c>
      <c r="H59" s="16">
        <f aca="true" t="shared" si="5" ref="H59:H84">F59*0.55+G59*0.45</f>
        <v>74.84750000000003</v>
      </c>
      <c r="I59" s="17"/>
    </row>
    <row r="60" spans="1:9" s="2" customFormat="1" ht="20.25" customHeight="1">
      <c r="A60" s="10">
        <v>58</v>
      </c>
      <c r="B60" s="11" t="s">
        <v>31</v>
      </c>
      <c r="C60" s="10" t="str">
        <f>"891101011101"</f>
        <v>891101011101</v>
      </c>
      <c r="D60" s="10">
        <v>80</v>
      </c>
      <c r="E60" s="10">
        <v>67</v>
      </c>
      <c r="F60" s="14">
        <f t="shared" si="0"/>
        <v>72.85</v>
      </c>
      <c r="G60" s="15">
        <v>76.1</v>
      </c>
      <c r="H60" s="16">
        <f t="shared" si="5"/>
        <v>74.3125</v>
      </c>
      <c r="I60" s="17"/>
    </row>
    <row r="61" spans="1:9" s="2" customFormat="1" ht="20.25" customHeight="1">
      <c r="A61" s="10">
        <v>59</v>
      </c>
      <c r="B61" s="11" t="s">
        <v>31</v>
      </c>
      <c r="C61" s="10" t="str">
        <f>"891414011414"</f>
        <v>891414011414</v>
      </c>
      <c r="D61" s="10">
        <v>70</v>
      </c>
      <c r="E61" s="10">
        <v>76</v>
      </c>
      <c r="F61" s="14">
        <f t="shared" si="0"/>
        <v>73.30000000000001</v>
      </c>
      <c r="G61" s="15">
        <v>75.5</v>
      </c>
      <c r="H61" s="16">
        <f t="shared" si="5"/>
        <v>74.29000000000002</v>
      </c>
      <c r="I61" s="17"/>
    </row>
    <row r="62" spans="1:9" s="2" customFormat="1" ht="20.25" customHeight="1">
      <c r="A62" s="10">
        <v>60</v>
      </c>
      <c r="B62" s="11" t="s">
        <v>31</v>
      </c>
      <c r="C62" s="10" t="str">
        <f>"891502011502"</f>
        <v>891502011502</v>
      </c>
      <c r="D62" s="10">
        <v>79</v>
      </c>
      <c r="E62" s="10">
        <v>64</v>
      </c>
      <c r="F62" s="14">
        <f t="shared" si="0"/>
        <v>70.75</v>
      </c>
      <c r="G62" s="15">
        <v>77.8</v>
      </c>
      <c r="H62" s="16">
        <f t="shared" si="5"/>
        <v>73.9225</v>
      </c>
      <c r="I62" s="17"/>
    </row>
    <row r="63" spans="1:9" s="2" customFormat="1" ht="20.25" customHeight="1">
      <c r="A63" s="10">
        <v>61</v>
      </c>
      <c r="B63" s="11" t="s">
        <v>31</v>
      </c>
      <c r="C63" s="10" t="str">
        <f>"891523011523"</f>
        <v>891523011523</v>
      </c>
      <c r="D63" s="10">
        <v>69</v>
      </c>
      <c r="E63" s="10">
        <v>74</v>
      </c>
      <c r="F63" s="14">
        <f t="shared" si="0"/>
        <v>71.75</v>
      </c>
      <c r="G63" s="15">
        <v>76.2</v>
      </c>
      <c r="H63" s="16">
        <f t="shared" si="5"/>
        <v>73.7525</v>
      </c>
      <c r="I63" s="17"/>
    </row>
    <row r="64" spans="1:9" s="2" customFormat="1" ht="20.25" customHeight="1">
      <c r="A64" s="10">
        <v>62</v>
      </c>
      <c r="B64" s="11" t="s">
        <v>31</v>
      </c>
      <c r="C64" s="10" t="str">
        <f>"891617011617"</f>
        <v>891617011617</v>
      </c>
      <c r="D64" s="10">
        <v>84</v>
      </c>
      <c r="E64" s="10">
        <v>61</v>
      </c>
      <c r="F64" s="14">
        <f t="shared" si="0"/>
        <v>71.35000000000001</v>
      </c>
      <c r="G64" s="15">
        <v>74.3</v>
      </c>
      <c r="H64" s="16">
        <f t="shared" si="5"/>
        <v>72.67750000000001</v>
      </c>
      <c r="I64" s="17"/>
    </row>
    <row r="65" spans="1:9" s="2" customFormat="1" ht="20.25" customHeight="1">
      <c r="A65" s="10">
        <v>63</v>
      </c>
      <c r="B65" s="11" t="s">
        <v>31</v>
      </c>
      <c r="C65" s="10" t="str">
        <f>"891102011102"</f>
        <v>891102011102</v>
      </c>
      <c r="D65" s="10">
        <v>80</v>
      </c>
      <c r="E65" s="10">
        <v>65</v>
      </c>
      <c r="F65" s="14">
        <f t="shared" si="0"/>
        <v>71.75</v>
      </c>
      <c r="G65" s="15">
        <v>72.9</v>
      </c>
      <c r="H65" s="16">
        <f t="shared" si="5"/>
        <v>72.26750000000001</v>
      </c>
      <c r="I65" s="17"/>
    </row>
    <row r="66" spans="1:9" s="1" customFormat="1" ht="20.25" customHeight="1">
      <c r="A66" s="10">
        <v>64</v>
      </c>
      <c r="B66" s="11" t="s">
        <v>31</v>
      </c>
      <c r="C66" s="10" t="str">
        <f>"891611011611"</f>
        <v>891611011611</v>
      </c>
      <c r="D66" s="10">
        <v>77</v>
      </c>
      <c r="E66" s="10">
        <v>64</v>
      </c>
      <c r="F66" s="14">
        <f t="shared" si="0"/>
        <v>69.85</v>
      </c>
      <c r="G66" s="15">
        <v>74.5</v>
      </c>
      <c r="H66" s="16">
        <f t="shared" si="5"/>
        <v>71.9425</v>
      </c>
      <c r="I66" s="17"/>
    </row>
    <row r="67" spans="1:9" s="1" customFormat="1" ht="20.25" customHeight="1">
      <c r="A67" s="10">
        <v>65</v>
      </c>
      <c r="B67" s="11" t="s">
        <v>31</v>
      </c>
      <c r="C67" s="10" t="str">
        <f>"891128011128"</f>
        <v>891128011128</v>
      </c>
      <c r="D67" s="10">
        <v>70</v>
      </c>
      <c r="E67" s="10">
        <v>67</v>
      </c>
      <c r="F67" s="14">
        <f aca="true" t="shared" si="6" ref="F67:F130">D67*0.45+E67*0.55</f>
        <v>68.35</v>
      </c>
      <c r="G67" s="15">
        <v>75</v>
      </c>
      <c r="H67" s="16">
        <f t="shared" si="5"/>
        <v>71.3425</v>
      </c>
      <c r="I67" s="17"/>
    </row>
    <row r="68" spans="1:9" s="1" customFormat="1" ht="20.25" customHeight="1">
      <c r="A68" s="10">
        <v>66</v>
      </c>
      <c r="B68" s="11" t="s">
        <v>31</v>
      </c>
      <c r="C68" s="10" t="str">
        <f>"891618011618"</f>
        <v>891618011618</v>
      </c>
      <c r="D68" s="10">
        <v>80</v>
      </c>
      <c r="E68" s="10">
        <v>59</v>
      </c>
      <c r="F68" s="14">
        <f t="shared" si="6"/>
        <v>68.45</v>
      </c>
      <c r="G68" s="15">
        <v>74.6</v>
      </c>
      <c r="H68" s="16">
        <f t="shared" si="5"/>
        <v>71.2175</v>
      </c>
      <c r="I68" s="17"/>
    </row>
    <row r="69" spans="1:9" s="1" customFormat="1" ht="20.25" customHeight="1">
      <c r="A69" s="10">
        <v>67</v>
      </c>
      <c r="B69" s="11" t="s">
        <v>31</v>
      </c>
      <c r="C69" s="10" t="str">
        <f>"891406011406"</f>
        <v>891406011406</v>
      </c>
      <c r="D69" s="10">
        <v>67</v>
      </c>
      <c r="E69" s="10">
        <v>71</v>
      </c>
      <c r="F69" s="14">
        <f t="shared" si="6"/>
        <v>69.2</v>
      </c>
      <c r="G69" s="15">
        <v>73.6</v>
      </c>
      <c r="H69" s="16">
        <f t="shared" si="5"/>
        <v>71.18</v>
      </c>
      <c r="I69" s="17"/>
    </row>
    <row r="70" spans="1:9" s="1" customFormat="1" ht="20.25" customHeight="1">
      <c r="A70" s="10">
        <v>68</v>
      </c>
      <c r="B70" s="11" t="s">
        <v>31</v>
      </c>
      <c r="C70" s="10" t="str">
        <f>"891318011318"</f>
        <v>891318011318</v>
      </c>
      <c r="D70" s="10">
        <v>74</v>
      </c>
      <c r="E70" s="10">
        <v>63</v>
      </c>
      <c r="F70" s="14">
        <f t="shared" si="6"/>
        <v>67.95000000000002</v>
      </c>
      <c r="G70" s="15">
        <v>72.7</v>
      </c>
      <c r="H70" s="16">
        <f t="shared" si="5"/>
        <v>70.0875</v>
      </c>
      <c r="I70" s="17"/>
    </row>
    <row r="71" spans="1:9" s="1" customFormat="1" ht="20.25" customHeight="1">
      <c r="A71" s="10">
        <v>69</v>
      </c>
      <c r="B71" s="11" t="s">
        <v>32</v>
      </c>
      <c r="C71" s="10" t="str">
        <f>"890126230126"</f>
        <v>890126230126</v>
      </c>
      <c r="D71" s="10">
        <v>73</v>
      </c>
      <c r="E71" s="10">
        <v>71</v>
      </c>
      <c r="F71" s="14">
        <f t="shared" si="6"/>
        <v>71.9</v>
      </c>
      <c r="G71" s="15">
        <v>74.2</v>
      </c>
      <c r="H71" s="16">
        <f t="shared" si="5"/>
        <v>72.935</v>
      </c>
      <c r="I71" s="17"/>
    </row>
    <row r="72" spans="1:9" s="1" customFormat="1" ht="20.25" customHeight="1">
      <c r="A72" s="10">
        <v>70</v>
      </c>
      <c r="B72" s="11" t="s">
        <v>32</v>
      </c>
      <c r="C72" s="10" t="str">
        <f>"890111230111"</f>
        <v>890111230111</v>
      </c>
      <c r="D72" s="10">
        <v>80</v>
      </c>
      <c r="E72" s="10">
        <v>60</v>
      </c>
      <c r="F72" s="14">
        <f t="shared" si="6"/>
        <v>69</v>
      </c>
      <c r="G72" s="15">
        <v>75.2</v>
      </c>
      <c r="H72" s="16">
        <f t="shared" si="5"/>
        <v>71.79</v>
      </c>
      <c r="I72" s="17"/>
    </row>
    <row r="73" spans="1:9" s="1" customFormat="1" ht="20.25" customHeight="1">
      <c r="A73" s="10">
        <v>71</v>
      </c>
      <c r="B73" s="11" t="s">
        <v>32</v>
      </c>
      <c r="C73" s="10" t="str">
        <f>"890118230118"</f>
        <v>890118230118</v>
      </c>
      <c r="D73" s="10">
        <v>78</v>
      </c>
      <c r="E73" s="10">
        <v>51</v>
      </c>
      <c r="F73" s="14">
        <f t="shared" si="6"/>
        <v>63.150000000000006</v>
      </c>
      <c r="G73" s="15">
        <v>63</v>
      </c>
      <c r="H73" s="16">
        <f t="shared" si="5"/>
        <v>63.08250000000001</v>
      </c>
      <c r="I73" s="17"/>
    </row>
    <row r="74" spans="1:9" s="1" customFormat="1" ht="20.25" customHeight="1">
      <c r="A74" s="10">
        <v>72</v>
      </c>
      <c r="B74" s="11" t="s">
        <v>33</v>
      </c>
      <c r="C74" s="10" t="str">
        <f>"891903011903"</f>
        <v>891903011903</v>
      </c>
      <c r="D74" s="10">
        <v>74</v>
      </c>
      <c r="E74" s="10">
        <v>69</v>
      </c>
      <c r="F74" s="14">
        <f t="shared" si="6"/>
        <v>71.25</v>
      </c>
      <c r="G74" s="15">
        <v>75.7</v>
      </c>
      <c r="H74" s="16">
        <f t="shared" si="5"/>
        <v>73.2525</v>
      </c>
      <c r="I74" s="17"/>
    </row>
    <row r="75" spans="1:9" s="1" customFormat="1" ht="20.25" customHeight="1">
      <c r="A75" s="10">
        <v>73</v>
      </c>
      <c r="B75" s="11" t="s">
        <v>33</v>
      </c>
      <c r="C75" s="10" t="str">
        <f>"891726011726"</f>
        <v>891726011726</v>
      </c>
      <c r="D75" s="10">
        <v>68</v>
      </c>
      <c r="E75" s="10">
        <v>76</v>
      </c>
      <c r="F75" s="14">
        <f t="shared" si="6"/>
        <v>72.4</v>
      </c>
      <c r="G75" s="15">
        <v>74.2</v>
      </c>
      <c r="H75" s="16">
        <f t="shared" si="5"/>
        <v>73.21000000000001</v>
      </c>
      <c r="I75" s="17"/>
    </row>
    <row r="76" spans="1:9" s="1" customFormat="1" ht="20.25" customHeight="1">
      <c r="A76" s="10">
        <v>74</v>
      </c>
      <c r="B76" s="11" t="s">
        <v>33</v>
      </c>
      <c r="C76" s="10" t="str">
        <f>"891901011901"</f>
        <v>891901011901</v>
      </c>
      <c r="D76" s="10">
        <v>69</v>
      </c>
      <c r="E76" s="10">
        <v>64</v>
      </c>
      <c r="F76" s="14">
        <f t="shared" si="6"/>
        <v>66.25</v>
      </c>
      <c r="G76" s="15">
        <v>77.3</v>
      </c>
      <c r="H76" s="16">
        <f t="shared" si="5"/>
        <v>71.2225</v>
      </c>
      <c r="I76" s="17"/>
    </row>
    <row r="77" spans="1:9" s="1" customFormat="1" ht="20.25" customHeight="1">
      <c r="A77" s="10">
        <v>75</v>
      </c>
      <c r="B77" s="11" t="s">
        <v>33</v>
      </c>
      <c r="C77" s="10" t="str">
        <f>"891728011728"</f>
        <v>891728011728</v>
      </c>
      <c r="D77" s="10">
        <v>66</v>
      </c>
      <c r="E77" s="10">
        <v>66</v>
      </c>
      <c r="F77" s="14">
        <f t="shared" si="6"/>
        <v>66</v>
      </c>
      <c r="G77" s="15">
        <v>75.1</v>
      </c>
      <c r="H77" s="16">
        <f t="shared" si="5"/>
        <v>70.095</v>
      </c>
      <c r="I77" s="17"/>
    </row>
    <row r="78" spans="1:9" s="1" customFormat="1" ht="20.25" customHeight="1">
      <c r="A78" s="10">
        <v>76</v>
      </c>
      <c r="B78" s="11" t="s">
        <v>33</v>
      </c>
      <c r="C78" s="10" t="str">
        <f>"891904011904"</f>
        <v>891904011904</v>
      </c>
      <c r="D78" s="10">
        <v>72</v>
      </c>
      <c r="E78" s="10">
        <v>61</v>
      </c>
      <c r="F78" s="14">
        <f t="shared" si="6"/>
        <v>65.95</v>
      </c>
      <c r="G78" s="15">
        <v>73.2</v>
      </c>
      <c r="H78" s="16">
        <f t="shared" si="5"/>
        <v>69.2125</v>
      </c>
      <c r="I78" s="17"/>
    </row>
    <row r="79" spans="1:9" s="1" customFormat="1" ht="20.25" customHeight="1">
      <c r="A79" s="10">
        <v>77</v>
      </c>
      <c r="B79" s="11" t="s">
        <v>33</v>
      </c>
      <c r="C79" s="10" t="str">
        <f>"891720011720"</f>
        <v>891720011720</v>
      </c>
      <c r="D79" s="10">
        <v>68</v>
      </c>
      <c r="E79" s="10">
        <v>68</v>
      </c>
      <c r="F79" s="14">
        <f t="shared" si="6"/>
        <v>68</v>
      </c>
      <c r="G79" s="15">
        <v>68.1</v>
      </c>
      <c r="H79" s="16">
        <f t="shared" si="5"/>
        <v>68.045</v>
      </c>
      <c r="I79" s="17"/>
    </row>
    <row r="80" spans="1:9" s="1" customFormat="1" ht="20.25" customHeight="1">
      <c r="A80" s="10">
        <v>78</v>
      </c>
      <c r="B80" s="11" t="s">
        <v>34</v>
      </c>
      <c r="C80" s="10" t="str">
        <f>"891925011925"</f>
        <v>891925011925</v>
      </c>
      <c r="D80" s="10">
        <v>82</v>
      </c>
      <c r="E80" s="10">
        <v>66</v>
      </c>
      <c r="F80" s="14">
        <f t="shared" si="6"/>
        <v>73.2</v>
      </c>
      <c r="G80" s="15">
        <v>75.4</v>
      </c>
      <c r="H80" s="16">
        <f t="shared" si="5"/>
        <v>74.19000000000001</v>
      </c>
      <c r="I80" s="17"/>
    </row>
    <row r="81" spans="1:9" s="1" customFormat="1" ht="20.25" customHeight="1">
      <c r="A81" s="10">
        <v>79</v>
      </c>
      <c r="B81" s="11" t="s">
        <v>34</v>
      </c>
      <c r="C81" s="10" t="str">
        <f>"891918011918"</f>
        <v>891918011918</v>
      </c>
      <c r="D81" s="10">
        <v>84</v>
      </c>
      <c r="E81" s="10">
        <v>56</v>
      </c>
      <c r="F81" s="14">
        <f t="shared" si="6"/>
        <v>68.60000000000001</v>
      </c>
      <c r="G81" s="15">
        <v>78.7</v>
      </c>
      <c r="H81" s="16">
        <f t="shared" si="5"/>
        <v>73.14500000000001</v>
      </c>
      <c r="I81" s="17"/>
    </row>
    <row r="82" spans="1:9" s="1" customFormat="1" ht="20.25" customHeight="1">
      <c r="A82" s="10">
        <v>80</v>
      </c>
      <c r="B82" s="11" t="s">
        <v>34</v>
      </c>
      <c r="C82" s="10" t="str">
        <f>"891922011922"</f>
        <v>891922011922</v>
      </c>
      <c r="D82" s="10">
        <v>81</v>
      </c>
      <c r="E82" s="10">
        <v>58</v>
      </c>
      <c r="F82" s="14">
        <f t="shared" si="6"/>
        <v>68.35000000000001</v>
      </c>
      <c r="G82" s="15">
        <v>75.2</v>
      </c>
      <c r="H82" s="16">
        <f t="shared" si="5"/>
        <v>71.4325</v>
      </c>
      <c r="I82" s="17"/>
    </row>
    <row r="83" spans="1:9" s="1" customFormat="1" ht="20.25" customHeight="1">
      <c r="A83" s="10">
        <v>81</v>
      </c>
      <c r="B83" s="11" t="s">
        <v>35</v>
      </c>
      <c r="C83" s="10" t="str">
        <f>"890613230613"</f>
        <v>890613230613</v>
      </c>
      <c r="D83" s="10">
        <v>78</v>
      </c>
      <c r="E83" s="10">
        <v>93</v>
      </c>
      <c r="F83" s="14">
        <f t="shared" si="6"/>
        <v>86.25</v>
      </c>
      <c r="G83" s="15">
        <v>74.2</v>
      </c>
      <c r="H83" s="16">
        <f t="shared" si="5"/>
        <v>80.82750000000001</v>
      </c>
      <c r="I83" s="17"/>
    </row>
    <row r="84" spans="1:9" s="1" customFormat="1" ht="20.25" customHeight="1">
      <c r="A84" s="10">
        <v>82</v>
      </c>
      <c r="B84" s="11" t="s">
        <v>35</v>
      </c>
      <c r="C84" s="10" t="str">
        <f>"890703230703"</f>
        <v>890703230703</v>
      </c>
      <c r="D84" s="10">
        <v>73</v>
      </c>
      <c r="E84" s="10">
        <v>89</v>
      </c>
      <c r="F84" s="14">
        <f t="shared" si="6"/>
        <v>81.80000000000001</v>
      </c>
      <c r="G84" s="15">
        <v>73</v>
      </c>
      <c r="H84" s="16">
        <f t="shared" si="5"/>
        <v>77.84</v>
      </c>
      <c r="I84" s="17"/>
    </row>
    <row r="85" spans="1:9" s="2" customFormat="1" ht="20.25" customHeight="1">
      <c r="A85" s="10">
        <v>83</v>
      </c>
      <c r="B85" s="11" t="s">
        <v>35</v>
      </c>
      <c r="C85" s="10" t="str">
        <f>"890621230621"</f>
        <v>890621230621</v>
      </c>
      <c r="D85" s="10">
        <v>77</v>
      </c>
      <c r="E85" s="10">
        <v>97</v>
      </c>
      <c r="F85" s="14">
        <f t="shared" si="6"/>
        <v>88</v>
      </c>
      <c r="G85" s="11" t="s">
        <v>12</v>
      </c>
      <c r="H85" s="16" t="s">
        <v>13</v>
      </c>
      <c r="I85" s="17"/>
    </row>
    <row r="86" spans="1:9" s="2" customFormat="1" ht="20.25" customHeight="1">
      <c r="A86" s="10">
        <v>84</v>
      </c>
      <c r="B86" s="11" t="s">
        <v>36</v>
      </c>
      <c r="C86" s="10" t="str">
        <f>"892001012001"</f>
        <v>892001012001</v>
      </c>
      <c r="D86" s="10">
        <v>86</v>
      </c>
      <c r="E86" s="10">
        <v>71</v>
      </c>
      <c r="F86" s="14">
        <f t="shared" si="6"/>
        <v>77.75</v>
      </c>
      <c r="G86" s="15">
        <v>80.7</v>
      </c>
      <c r="H86" s="16">
        <f aca="true" t="shared" si="7" ref="H86:H110">F86*0.55+G86*0.45</f>
        <v>79.07750000000001</v>
      </c>
      <c r="I86" s="17"/>
    </row>
    <row r="87" spans="1:9" s="2" customFormat="1" ht="20.25" customHeight="1">
      <c r="A87" s="10">
        <v>85</v>
      </c>
      <c r="B87" s="11" t="s">
        <v>36</v>
      </c>
      <c r="C87" s="10" t="str">
        <f>"892003012003"</f>
        <v>892003012003</v>
      </c>
      <c r="D87" s="10">
        <v>86</v>
      </c>
      <c r="E87" s="10">
        <v>73</v>
      </c>
      <c r="F87" s="14">
        <f t="shared" si="6"/>
        <v>78.85000000000001</v>
      </c>
      <c r="G87" s="15">
        <v>73.6</v>
      </c>
      <c r="H87" s="16">
        <f t="shared" si="7"/>
        <v>76.48750000000001</v>
      </c>
      <c r="I87" s="17"/>
    </row>
    <row r="88" spans="1:9" s="2" customFormat="1" ht="20.25" customHeight="1">
      <c r="A88" s="10">
        <v>86</v>
      </c>
      <c r="B88" s="11" t="s">
        <v>36</v>
      </c>
      <c r="C88" s="10" t="str">
        <f>"892009012009"</f>
        <v>892009012009</v>
      </c>
      <c r="D88" s="10">
        <v>77</v>
      </c>
      <c r="E88" s="10">
        <v>59</v>
      </c>
      <c r="F88" s="14">
        <f t="shared" si="6"/>
        <v>67.1</v>
      </c>
      <c r="G88" s="15">
        <v>72.1</v>
      </c>
      <c r="H88" s="16">
        <f t="shared" si="7"/>
        <v>69.35</v>
      </c>
      <c r="I88" s="17"/>
    </row>
    <row r="89" spans="1:9" s="2" customFormat="1" ht="20.25" customHeight="1">
      <c r="A89" s="10">
        <v>87</v>
      </c>
      <c r="B89" s="11" t="s">
        <v>37</v>
      </c>
      <c r="C89" s="10" t="str">
        <f>"892111012111"</f>
        <v>892111012111</v>
      </c>
      <c r="D89" s="10">
        <v>76</v>
      </c>
      <c r="E89" s="10">
        <v>54</v>
      </c>
      <c r="F89" s="14">
        <f t="shared" si="6"/>
        <v>63.900000000000006</v>
      </c>
      <c r="G89" s="15">
        <v>75</v>
      </c>
      <c r="H89" s="16">
        <f t="shared" si="7"/>
        <v>68.89500000000001</v>
      </c>
      <c r="I89" s="17"/>
    </row>
    <row r="90" spans="1:9" s="2" customFormat="1" ht="20.25" customHeight="1">
      <c r="A90" s="10">
        <v>88</v>
      </c>
      <c r="B90" s="11" t="s">
        <v>37</v>
      </c>
      <c r="C90" s="10" t="str">
        <f>"892113012113"</f>
        <v>892113012113</v>
      </c>
      <c r="D90" s="10">
        <v>71</v>
      </c>
      <c r="E90" s="10">
        <v>60</v>
      </c>
      <c r="F90" s="14">
        <f t="shared" si="6"/>
        <v>64.95</v>
      </c>
      <c r="G90" s="15">
        <v>72.1</v>
      </c>
      <c r="H90" s="16">
        <f t="shared" si="7"/>
        <v>68.1675</v>
      </c>
      <c r="I90" s="17"/>
    </row>
    <row r="91" spans="1:9" s="2" customFormat="1" ht="20.25" customHeight="1">
      <c r="A91" s="10">
        <v>89</v>
      </c>
      <c r="B91" s="11" t="s">
        <v>37</v>
      </c>
      <c r="C91" s="10" t="str">
        <f>"892109012109"</f>
        <v>892109012109</v>
      </c>
      <c r="D91" s="10">
        <v>71</v>
      </c>
      <c r="E91" s="10">
        <v>58</v>
      </c>
      <c r="F91" s="14">
        <f t="shared" si="6"/>
        <v>63.85</v>
      </c>
      <c r="G91" s="15">
        <v>73</v>
      </c>
      <c r="H91" s="16">
        <f t="shared" si="7"/>
        <v>67.9675</v>
      </c>
      <c r="I91" s="17"/>
    </row>
    <row r="92" spans="1:9" s="2" customFormat="1" ht="20.25" customHeight="1">
      <c r="A92" s="10">
        <v>90</v>
      </c>
      <c r="B92" s="11" t="s">
        <v>38</v>
      </c>
      <c r="C92" s="10" t="str">
        <f>"892215012215"</f>
        <v>892215012215</v>
      </c>
      <c r="D92" s="10">
        <v>82</v>
      </c>
      <c r="E92" s="10">
        <v>69</v>
      </c>
      <c r="F92" s="14">
        <f t="shared" si="6"/>
        <v>74.85</v>
      </c>
      <c r="G92" s="15">
        <v>72.7</v>
      </c>
      <c r="H92" s="16">
        <f t="shared" si="7"/>
        <v>73.8825</v>
      </c>
      <c r="I92" s="17"/>
    </row>
    <row r="93" spans="1:9" s="2" customFormat="1" ht="20.25" customHeight="1">
      <c r="A93" s="10">
        <v>91</v>
      </c>
      <c r="B93" s="11" t="s">
        <v>38</v>
      </c>
      <c r="C93" s="10" t="str">
        <f>"892212012212"</f>
        <v>892212012212</v>
      </c>
      <c r="D93" s="10">
        <v>75</v>
      </c>
      <c r="E93" s="10">
        <v>59</v>
      </c>
      <c r="F93" s="14">
        <f t="shared" si="6"/>
        <v>66.2</v>
      </c>
      <c r="G93" s="15">
        <v>78.3</v>
      </c>
      <c r="H93" s="16">
        <f t="shared" si="7"/>
        <v>71.64500000000001</v>
      </c>
      <c r="I93" s="17"/>
    </row>
    <row r="94" spans="1:9" s="2" customFormat="1" ht="20.25" customHeight="1">
      <c r="A94" s="10">
        <v>92</v>
      </c>
      <c r="B94" s="11" t="s">
        <v>38</v>
      </c>
      <c r="C94" s="10" t="str">
        <f>"892211012211"</f>
        <v>892211012211</v>
      </c>
      <c r="D94" s="10">
        <v>68</v>
      </c>
      <c r="E94" s="10">
        <v>65</v>
      </c>
      <c r="F94" s="14">
        <f t="shared" si="6"/>
        <v>66.35</v>
      </c>
      <c r="G94" s="15">
        <v>70.1</v>
      </c>
      <c r="H94" s="16">
        <f t="shared" si="7"/>
        <v>68.0375</v>
      </c>
      <c r="I94" s="17"/>
    </row>
    <row r="95" spans="1:9" s="2" customFormat="1" ht="20.25" customHeight="1">
      <c r="A95" s="10">
        <v>93</v>
      </c>
      <c r="B95" s="11" t="s">
        <v>39</v>
      </c>
      <c r="C95" s="10" t="str">
        <f>"891123231123"</f>
        <v>891123231123</v>
      </c>
      <c r="D95" s="10">
        <v>80</v>
      </c>
      <c r="E95" s="10">
        <v>70</v>
      </c>
      <c r="F95" s="14">
        <f t="shared" si="6"/>
        <v>74.5</v>
      </c>
      <c r="G95" s="15">
        <v>74.6</v>
      </c>
      <c r="H95" s="16">
        <f t="shared" si="7"/>
        <v>74.545</v>
      </c>
      <c r="I95" s="17"/>
    </row>
    <row r="96" spans="1:9" s="2" customFormat="1" ht="20.25" customHeight="1">
      <c r="A96" s="10">
        <v>94</v>
      </c>
      <c r="B96" s="11" t="s">
        <v>39</v>
      </c>
      <c r="C96" s="10" t="str">
        <f>"891122231122"</f>
        <v>891122231122</v>
      </c>
      <c r="D96" s="10">
        <v>77</v>
      </c>
      <c r="E96" s="10">
        <v>63</v>
      </c>
      <c r="F96" s="14">
        <f t="shared" si="6"/>
        <v>69.30000000000001</v>
      </c>
      <c r="G96" s="15">
        <v>75.7</v>
      </c>
      <c r="H96" s="16">
        <f t="shared" si="7"/>
        <v>72.18</v>
      </c>
      <c r="I96" s="17"/>
    </row>
    <row r="97" spans="1:9" s="2" customFormat="1" ht="20.25" customHeight="1">
      <c r="A97" s="10">
        <v>95</v>
      </c>
      <c r="B97" s="11" t="s">
        <v>39</v>
      </c>
      <c r="C97" s="10" t="str">
        <f>"891118231118"</f>
        <v>891118231118</v>
      </c>
      <c r="D97" s="10">
        <v>69</v>
      </c>
      <c r="E97" s="10">
        <v>61</v>
      </c>
      <c r="F97" s="14">
        <f t="shared" si="6"/>
        <v>64.60000000000001</v>
      </c>
      <c r="G97" s="15">
        <v>74.6</v>
      </c>
      <c r="H97" s="16">
        <f t="shared" si="7"/>
        <v>69.10000000000001</v>
      </c>
      <c r="I97" s="17"/>
    </row>
    <row r="98" spans="1:9" s="2" customFormat="1" ht="20.25" customHeight="1">
      <c r="A98" s="10">
        <v>96</v>
      </c>
      <c r="B98" s="11" t="s">
        <v>39</v>
      </c>
      <c r="C98" s="10" t="str">
        <f>"891112231112"</f>
        <v>891112231112</v>
      </c>
      <c r="D98" s="10">
        <v>66</v>
      </c>
      <c r="E98" s="10">
        <v>61</v>
      </c>
      <c r="F98" s="14">
        <f t="shared" si="6"/>
        <v>63.25</v>
      </c>
      <c r="G98" s="15">
        <v>76</v>
      </c>
      <c r="H98" s="16">
        <f t="shared" si="7"/>
        <v>68.98750000000001</v>
      </c>
      <c r="I98" s="17"/>
    </row>
    <row r="99" spans="1:9" s="2" customFormat="1" ht="20.25" customHeight="1">
      <c r="A99" s="10">
        <v>97</v>
      </c>
      <c r="B99" s="11" t="s">
        <v>39</v>
      </c>
      <c r="C99" s="10" t="str">
        <f>"891111231111"</f>
        <v>891111231111</v>
      </c>
      <c r="D99" s="10">
        <v>63</v>
      </c>
      <c r="E99" s="10">
        <v>53</v>
      </c>
      <c r="F99" s="14">
        <f t="shared" si="6"/>
        <v>57.5</v>
      </c>
      <c r="G99" s="15">
        <v>71.6</v>
      </c>
      <c r="H99" s="16">
        <f t="shared" si="7"/>
        <v>63.845</v>
      </c>
      <c r="I99" s="17"/>
    </row>
    <row r="100" spans="1:9" s="2" customFormat="1" ht="20.25" customHeight="1">
      <c r="A100" s="10">
        <v>98</v>
      </c>
      <c r="B100" s="11" t="s">
        <v>39</v>
      </c>
      <c r="C100" s="10" t="str">
        <f>"891113231113"</f>
        <v>891113231113</v>
      </c>
      <c r="D100" s="10">
        <v>65</v>
      </c>
      <c r="E100" s="10">
        <v>49</v>
      </c>
      <c r="F100" s="14">
        <f t="shared" si="6"/>
        <v>56.2</v>
      </c>
      <c r="G100" s="15">
        <v>70.2</v>
      </c>
      <c r="H100" s="16">
        <f t="shared" si="7"/>
        <v>62.50000000000001</v>
      </c>
      <c r="I100" s="17"/>
    </row>
    <row r="101" spans="1:9" s="2" customFormat="1" ht="20.25" customHeight="1">
      <c r="A101" s="10">
        <v>99</v>
      </c>
      <c r="B101" s="11" t="s">
        <v>40</v>
      </c>
      <c r="C101" s="10" t="str">
        <f>"892305012305"</f>
        <v>892305012305</v>
      </c>
      <c r="D101" s="10">
        <v>63</v>
      </c>
      <c r="E101" s="10">
        <v>74</v>
      </c>
      <c r="F101" s="14">
        <f t="shared" si="6"/>
        <v>69.05000000000001</v>
      </c>
      <c r="G101" s="15">
        <v>76.2</v>
      </c>
      <c r="H101" s="16">
        <f t="shared" si="7"/>
        <v>72.26750000000001</v>
      </c>
      <c r="I101" s="17"/>
    </row>
    <row r="102" spans="1:9" s="2" customFormat="1" ht="20.25" customHeight="1">
      <c r="A102" s="10">
        <v>100</v>
      </c>
      <c r="B102" s="11" t="s">
        <v>40</v>
      </c>
      <c r="C102" s="10" t="str">
        <f>"892220012220"</f>
        <v>892220012220</v>
      </c>
      <c r="D102" s="10">
        <v>52</v>
      </c>
      <c r="E102" s="10">
        <v>77</v>
      </c>
      <c r="F102" s="14">
        <f t="shared" si="6"/>
        <v>65.75</v>
      </c>
      <c r="G102" s="15">
        <v>77.2</v>
      </c>
      <c r="H102" s="16">
        <f t="shared" si="7"/>
        <v>70.9025</v>
      </c>
      <c r="I102" s="17"/>
    </row>
    <row r="103" spans="1:9" s="2" customFormat="1" ht="20.25" customHeight="1">
      <c r="A103" s="10">
        <v>101</v>
      </c>
      <c r="B103" s="11" t="s">
        <v>40</v>
      </c>
      <c r="C103" s="10" t="str">
        <f>"892218012218"</f>
        <v>892218012218</v>
      </c>
      <c r="D103" s="10">
        <v>74</v>
      </c>
      <c r="E103" s="10">
        <v>54</v>
      </c>
      <c r="F103" s="14">
        <f t="shared" si="6"/>
        <v>63.00000000000001</v>
      </c>
      <c r="G103" s="15">
        <v>75</v>
      </c>
      <c r="H103" s="16">
        <f t="shared" si="7"/>
        <v>68.4</v>
      </c>
      <c r="I103" s="17"/>
    </row>
    <row r="104" spans="1:9" s="2" customFormat="1" ht="20.25" customHeight="1">
      <c r="A104" s="10">
        <v>102</v>
      </c>
      <c r="B104" s="11" t="s">
        <v>41</v>
      </c>
      <c r="C104" s="10" t="str">
        <f>"892320012320"</f>
        <v>892320012320</v>
      </c>
      <c r="D104" s="10">
        <v>76</v>
      </c>
      <c r="E104" s="10">
        <v>68</v>
      </c>
      <c r="F104" s="14">
        <f t="shared" si="6"/>
        <v>71.60000000000001</v>
      </c>
      <c r="G104" s="15">
        <v>77</v>
      </c>
      <c r="H104" s="16">
        <f t="shared" si="7"/>
        <v>74.03</v>
      </c>
      <c r="I104" s="17"/>
    </row>
    <row r="105" spans="1:9" s="1" customFormat="1" ht="20.25" customHeight="1">
      <c r="A105" s="10">
        <v>103</v>
      </c>
      <c r="B105" s="11" t="s">
        <v>41</v>
      </c>
      <c r="C105" s="10" t="str">
        <f>"892326012326"</f>
        <v>892326012326</v>
      </c>
      <c r="D105" s="10">
        <v>74</v>
      </c>
      <c r="E105" s="10">
        <v>64</v>
      </c>
      <c r="F105" s="14">
        <f t="shared" si="6"/>
        <v>68.5</v>
      </c>
      <c r="G105" s="15">
        <v>74.4</v>
      </c>
      <c r="H105" s="16">
        <f t="shared" si="7"/>
        <v>71.155</v>
      </c>
      <c r="I105" s="17"/>
    </row>
    <row r="106" spans="1:9" s="1" customFormat="1" ht="20.25" customHeight="1">
      <c r="A106" s="10">
        <v>104</v>
      </c>
      <c r="B106" s="11" t="s">
        <v>41</v>
      </c>
      <c r="C106" s="10" t="str">
        <f>"892319012319"</f>
        <v>892319012319</v>
      </c>
      <c r="D106" s="10">
        <v>74</v>
      </c>
      <c r="E106" s="10">
        <v>58</v>
      </c>
      <c r="F106" s="14">
        <f t="shared" si="6"/>
        <v>65.2</v>
      </c>
      <c r="G106" s="15">
        <v>71.4</v>
      </c>
      <c r="H106" s="16">
        <f t="shared" si="7"/>
        <v>67.99000000000001</v>
      </c>
      <c r="I106" s="17"/>
    </row>
    <row r="107" spans="1:9" s="1" customFormat="1" ht="20.25" customHeight="1">
      <c r="A107" s="10">
        <v>105</v>
      </c>
      <c r="B107" s="11" t="s">
        <v>42</v>
      </c>
      <c r="C107" s="10" t="str">
        <f>"892408012408"</f>
        <v>892408012408</v>
      </c>
      <c r="D107" s="10">
        <v>71</v>
      </c>
      <c r="E107" s="10">
        <v>51</v>
      </c>
      <c r="F107" s="14">
        <f t="shared" si="6"/>
        <v>60</v>
      </c>
      <c r="G107" s="15">
        <v>77.5</v>
      </c>
      <c r="H107" s="16">
        <f t="shared" si="7"/>
        <v>67.875</v>
      </c>
      <c r="I107" s="17"/>
    </row>
    <row r="108" spans="1:9" s="1" customFormat="1" ht="20.25" customHeight="1">
      <c r="A108" s="10">
        <v>106</v>
      </c>
      <c r="B108" s="11" t="s">
        <v>42</v>
      </c>
      <c r="C108" s="10" t="str">
        <f>"892404012404"</f>
        <v>892404012404</v>
      </c>
      <c r="D108" s="10">
        <v>63</v>
      </c>
      <c r="E108" s="10">
        <v>42</v>
      </c>
      <c r="F108" s="14">
        <f t="shared" si="6"/>
        <v>51.45</v>
      </c>
      <c r="G108" s="15">
        <v>67.6</v>
      </c>
      <c r="H108" s="16">
        <f t="shared" si="7"/>
        <v>58.7175</v>
      </c>
      <c r="I108" s="17"/>
    </row>
    <row r="109" spans="1:9" s="1" customFormat="1" ht="20.25" customHeight="1">
      <c r="A109" s="10">
        <v>107</v>
      </c>
      <c r="B109" s="11" t="s">
        <v>43</v>
      </c>
      <c r="C109" s="10" t="str">
        <f>"892501012501"</f>
        <v>892501012501</v>
      </c>
      <c r="D109" s="10">
        <v>71</v>
      </c>
      <c r="E109" s="10">
        <v>68</v>
      </c>
      <c r="F109" s="14">
        <f t="shared" si="6"/>
        <v>69.35000000000001</v>
      </c>
      <c r="G109" s="15">
        <v>76</v>
      </c>
      <c r="H109" s="16">
        <f t="shared" si="7"/>
        <v>72.3425</v>
      </c>
      <c r="I109" s="17"/>
    </row>
    <row r="110" spans="1:9" s="1" customFormat="1" ht="20.25" customHeight="1">
      <c r="A110" s="10">
        <v>108</v>
      </c>
      <c r="B110" s="11" t="s">
        <v>43</v>
      </c>
      <c r="C110" s="10" t="str">
        <f>"892418012418"</f>
        <v>892418012418</v>
      </c>
      <c r="D110" s="10">
        <v>76</v>
      </c>
      <c r="E110" s="10">
        <v>60</v>
      </c>
      <c r="F110" s="14">
        <f t="shared" si="6"/>
        <v>67.2</v>
      </c>
      <c r="G110" s="15">
        <v>71.6</v>
      </c>
      <c r="H110" s="16">
        <f t="shared" si="7"/>
        <v>69.18</v>
      </c>
      <c r="I110" s="17"/>
    </row>
    <row r="111" spans="1:9" s="1" customFormat="1" ht="20.25" customHeight="1">
      <c r="A111" s="10">
        <v>109</v>
      </c>
      <c r="B111" s="11" t="s">
        <v>43</v>
      </c>
      <c r="C111" s="10" t="str">
        <f>"892510012510"</f>
        <v>892510012510</v>
      </c>
      <c r="D111" s="10">
        <v>76</v>
      </c>
      <c r="E111" s="10">
        <v>78</v>
      </c>
      <c r="F111" s="14">
        <f t="shared" si="6"/>
        <v>77.10000000000001</v>
      </c>
      <c r="G111" s="11" t="s">
        <v>12</v>
      </c>
      <c r="H111" s="16" t="s">
        <v>13</v>
      </c>
      <c r="I111" s="17"/>
    </row>
    <row r="112" spans="1:9" s="1" customFormat="1" ht="20.25" customHeight="1">
      <c r="A112" s="10">
        <v>110</v>
      </c>
      <c r="B112" s="11" t="s">
        <v>44</v>
      </c>
      <c r="C112" s="10" t="str">
        <f>"892703012703"</f>
        <v>892703012703</v>
      </c>
      <c r="D112" s="10">
        <v>79</v>
      </c>
      <c r="E112" s="10">
        <v>64</v>
      </c>
      <c r="F112" s="14">
        <f t="shared" si="6"/>
        <v>70.75</v>
      </c>
      <c r="G112" s="15">
        <v>76.1</v>
      </c>
      <c r="H112" s="16">
        <f aca="true" t="shared" si="8" ref="H112:H131">F112*0.55+G112*0.45</f>
        <v>73.1575</v>
      </c>
      <c r="I112" s="17"/>
    </row>
    <row r="113" spans="1:9" s="1" customFormat="1" ht="20.25" customHeight="1">
      <c r="A113" s="10">
        <v>111</v>
      </c>
      <c r="B113" s="11" t="s">
        <v>44</v>
      </c>
      <c r="C113" s="10" t="str">
        <f>"892704012704"</f>
        <v>892704012704</v>
      </c>
      <c r="D113" s="10">
        <v>74</v>
      </c>
      <c r="E113" s="10">
        <v>66</v>
      </c>
      <c r="F113" s="14">
        <f t="shared" si="6"/>
        <v>69.60000000000001</v>
      </c>
      <c r="G113" s="15">
        <v>76.7</v>
      </c>
      <c r="H113" s="16">
        <f t="shared" si="8"/>
        <v>72.79500000000002</v>
      </c>
      <c r="I113" s="17"/>
    </row>
    <row r="114" spans="1:9" s="1" customFormat="1" ht="20.25" customHeight="1">
      <c r="A114" s="10">
        <v>112</v>
      </c>
      <c r="B114" s="11" t="s">
        <v>44</v>
      </c>
      <c r="C114" s="10" t="str">
        <f>"892625012625"</f>
        <v>892625012625</v>
      </c>
      <c r="D114" s="10">
        <v>76</v>
      </c>
      <c r="E114" s="10">
        <v>62</v>
      </c>
      <c r="F114" s="14">
        <f t="shared" si="6"/>
        <v>68.30000000000001</v>
      </c>
      <c r="G114" s="15">
        <v>76.8</v>
      </c>
      <c r="H114" s="16">
        <f t="shared" si="8"/>
        <v>72.12500000000001</v>
      </c>
      <c r="I114" s="17"/>
    </row>
    <row r="115" spans="1:9" s="1" customFormat="1" ht="20.25" customHeight="1">
      <c r="A115" s="10">
        <v>113</v>
      </c>
      <c r="B115" s="11" t="s">
        <v>45</v>
      </c>
      <c r="C115" s="10" t="str">
        <f>"892711012711"</f>
        <v>892711012711</v>
      </c>
      <c r="D115" s="10">
        <v>73</v>
      </c>
      <c r="E115" s="10">
        <v>65</v>
      </c>
      <c r="F115" s="14">
        <f t="shared" si="6"/>
        <v>68.6</v>
      </c>
      <c r="G115" s="15">
        <v>77.4</v>
      </c>
      <c r="H115" s="16">
        <f t="shared" si="8"/>
        <v>72.56</v>
      </c>
      <c r="I115" s="17"/>
    </row>
    <row r="116" spans="1:9" s="1" customFormat="1" ht="20.25" customHeight="1">
      <c r="A116" s="10">
        <v>114</v>
      </c>
      <c r="B116" s="11" t="s">
        <v>45</v>
      </c>
      <c r="C116" s="10" t="str">
        <f>"892723012723"</f>
        <v>892723012723</v>
      </c>
      <c r="D116" s="10">
        <v>75</v>
      </c>
      <c r="E116" s="10">
        <v>70</v>
      </c>
      <c r="F116" s="14">
        <f t="shared" si="6"/>
        <v>72.25</v>
      </c>
      <c r="G116" s="15">
        <v>71.4</v>
      </c>
      <c r="H116" s="16">
        <f t="shared" si="8"/>
        <v>71.8675</v>
      </c>
      <c r="I116" s="17"/>
    </row>
    <row r="117" spans="1:9" s="1" customFormat="1" ht="20.25" customHeight="1">
      <c r="A117" s="10">
        <v>115</v>
      </c>
      <c r="B117" s="11" t="s">
        <v>45</v>
      </c>
      <c r="C117" s="10" t="str">
        <f>"892722012722"</f>
        <v>892722012722</v>
      </c>
      <c r="D117" s="10">
        <v>75</v>
      </c>
      <c r="E117" s="10">
        <v>59</v>
      </c>
      <c r="F117" s="14">
        <f t="shared" si="6"/>
        <v>66.2</v>
      </c>
      <c r="G117" s="15">
        <v>76.9</v>
      </c>
      <c r="H117" s="16">
        <f t="shared" si="8"/>
        <v>71.01500000000001</v>
      </c>
      <c r="I117" s="17"/>
    </row>
    <row r="118" spans="1:9" s="1" customFormat="1" ht="20.25" customHeight="1">
      <c r="A118" s="10">
        <v>116</v>
      </c>
      <c r="B118" s="11" t="s">
        <v>45</v>
      </c>
      <c r="C118" s="10" t="str">
        <f>"892802012802"</f>
        <v>892802012802</v>
      </c>
      <c r="D118" s="10">
        <v>86</v>
      </c>
      <c r="E118" s="10">
        <v>51</v>
      </c>
      <c r="F118" s="14">
        <f t="shared" si="6"/>
        <v>66.75</v>
      </c>
      <c r="G118" s="15">
        <v>74.4</v>
      </c>
      <c r="H118" s="16">
        <f t="shared" si="8"/>
        <v>70.19250000000001</v>
      </c>
      <c r="I118" s="17"/>
    </row>
    <row r="119" spans="1:9" s="1" customFormat="1" ht="20.25" customHeight="1">
      <c r="A119" s="10">
        <v>117</v>
      </c>
      <c r="B119" s="11" t="s">
        <v>45</v>
      </c>
      <c r="C119" s="10" t="str">
        <f>"892707012707"</f>
        <v>892707012707</v>
      </c>
      <c r="D119" s="10">
        <v>75</v>
      </c>
      <c r="E119" s="10">
        <v>55</v>
      </c>
      <c r="F119" s="14">
        <f t="shared" si="6"/>
        <v>64</v>
      </c>
      <c r="G119" s="15">
        <v>76.8</v>
      </c>
      <c r="H119" s="16">
        <f t="shared" si="8"/>
        <v>69.76</v>
      </c>
      <c r="I119" s="17"/>
    </row>
    <row r="120" spans="1:9" s="1" customFormat="1" ht="20.25" customHeight="1">
      <c r="A120" s="10">
        <v>118</v>
      </c>
      <c r="B120" s="11" t="s">
        <v>45</v>
      </c>
      <c r="C120" s="10" t="str">
        <f>"892714012714"</f>
        <v>892714012714</v>
      </c>
      <c r="D120" s="10">
        <v>71</v>
      </c>
      <c r="E120" s="10">
        <v>61</v>
      </c>
      <c r="F120" s="14">
        <f t="shared" si="6"/>
        <v>65.5</v>
      </c>
      <c r="G120" s="15">
        <v>73.5</v>
      </c>
      <c r="H120" s="16">
        <f t="shared" si="8"/>
        <v>69.10000000000001</v>
      </c>
      <c r="I120" s="17"/>
    </row>
    <row r="121" spans="1:9" s="1" customFormat="1" ht="20.25" customHeight="1">
      <c r="A121" s="10">
        <v>119</v>
      </c>
      <c r="B121" s="11" t="s">
        <v>45</v>
      </c>
      <c r="C121" s="10" t="str">
        <f>"892810012810"</f>
        <v>892810012810</v>
      </c>
      <c r="D121" s="10">
        <v>76</v>
      </c>
      <c r="E121" s="10">
        <v>59</v>
      </c>
      <c r="F121" s="14">
        <f t="shared" si="6"/>
        <v>66.65</v>
      </c>
      <c r="G121" s="15">
        <v>71.6</v>
      </c>
      <c r="H121" s="16">
        <f t="shared" si="8"/>
        <v>68.8775</v>
      </c>
      <c r="I121" s="17"/>
    </row>
    <row r="122" spans="1:9" s="1" customFormat="1" ht="20.25" customHeight="1">
      <c r="A122" s="10">
        <v>120</v>
      </c>
      <c r="B122" s="11" t="s">
        <v>45</v>
      </c>
      <c r="C122" s="10" t="str">
        <f>"892806012806"</f>
        <v>892806012806</v>
      </c>
      <c r="D122" s="10">
        <v>70</v>
      </c>
      <c r="E122" s="10">
        <v>58</v>
      </c>
      <c r="F122" s="14">
        <f t="shared" si="6"/>
        <v>63.400000000000006</v>
      </c>
      <c r="G122" s="15">
        <v>74.5</v>
      </c>
      <c r="H122" s="16">
        <f t="shared" si="8"/>
        <v>68.39500000000001</v>
      </c>
      <c r="I122" s="17"/>
    </row>
    <row r="123" spans="1:9" s="1" customFormat="1" ht="20.25" customHeight="1">
      <c r="A123" s="10">
        <v>121</v>
      </c>
      <c r="B123" s="11" t="s">
        <v>45</v>
      </c>
      <c r="C123" s="10" t="str">
        <f>"892811012811"</f>
        <v>892811012811</v>
      </c>
      <c r="D123" s="10">
        <v>79</v>
      </c>
      <c r="E123" s="10">
        <v>53</v>
      </c>
      <c r="F123" s="14">
        <f t="shared" si="6"/>
        <v>64.7</v>
      </c>
      <c r="G123" s="15">
        <v>72.8</v>
      </c>
      <c r="H123" s="16">
        <f t="shared" si="8"/>
        <v>68.345</v>
      </c>
      <c r="I123" s="17"/>
    </row>
    <row r="124" spans="1:9" s="1" customFormat="1" ht="20.25" customHeight="1">
      <c r="A124" s="10">
        <v>122</v>
      </c>
      <c r="B124" s="11" t="s">
        <v>45</v>
      </c>
      <c r="C124" s="10" t="str">
        <f>"892730012730"</f>
        <v>892730012730</v>
      </c>
      <c r="D124" s="10">
        <v>77</v>
      </c>
      <c r="E124" s="10">
        <v>51</v>
      </c>
      <c r="F124" s="14">
        <f t="shared" si="6"/>
        <v>62.7</v>
      </c>
      <c r="G124" s="15">
        <v>75.2</v>
      </c>
      <c r="H124" s="16">
        <f t="shared" si="8"/>
        <v>68.32500000000002</v>
      </c>
      <c r="I124" s="17"/>
    </row>
    <row r="125" spans="1:9" s="1" customFormat="1" ht="20.25" customHeight="1">
      <c r="A125" s="10">
        <v>123</v>
      </c>
      <c r="B125" s="11" t="s">
        <v>45</v>
      </c>
      <c r="C125" s="10" t="str">
        <f>"892821012821"</f>
        <v>892821012821</v>
      </c>
      <c r="D125" s="10">
        <v>65</v>
      </c>
      <c r="E125" s="10">
        <v>65</v>
      </c>
      <c r="F125" s="14">
        <f t="shared" si="6"/>
        <v>65</v>
      </c>
      <c r="G125" s="15">
        <v>71.8</v>
      </c>
      <c r="H125" s="16">
        <f t="shared" si="8"/>
        <v>68.06</v>
      </c>
      <c r="I125" s="17"/>
    </row>
    <row r="126" spans="1:9" s="1" customFormat="1" ht="20.25" customHeight="1">
      <c r="A126" s="10">
        <v>124</v>
      </c>
      <c r="B126" s="11" t="s">
        <v>45</v>
      </c>
      <c r="C126" s="10" t="str">
        <f>"892718012718"</f>
        <v>892718012718</v>
      </c>
      <c r="D126" s="10">
        <v>62</v>
      </c>
      <c r="E126" s="10">
        <v>66</v>
      </c>
      <c r="F126" s="14">
        <f t="shared" si="6"/>
        <v>64.2</v>
      </c>
      <c r="G126" s="15">
        <v>72.2</v>
      </c>
      <c r="H126" s="16">
        <f t="shared" si="8"/>
        <v>67.80000000000001</v>
      </c>
      <c r="I126" s="17"/>
    </row>
    <row r="127" spans="1:9" s="1" customFormat="1" ht="20.25" customHeight="1">
      <c r="A127" s="10">
        <v>125</v>
      </c>
      <c r="B127" s="11" t="s">
        <v>46</v>
      </c>
      <c r="C127" s="10" t="str">
        <f>"892915012915"</f>
        <v>892915012915</v>
      </c>
      <c r="D127" s="10">
        <v>73</v>
      </c>
      <c r="E127" s="10">
        <v>64</v>
      </c>
      <c r="F127" s="14">
        <f t="shared" si="6"/>
        <v>68.05000000000001</v>
      </c>
      <c r="G127" s="15">
        <v>75.9</v>
      </c>
      <c r="H127" s="16">
        <f t="shared" si="8"/>
        <v>71.58250000000001</v>
      </c>
      <c r="I127" s="17"/>
    </row>
    <row r="128" spans="1:9" s="1" customFormat="1" ht="20.25" customHeight="1">
      <c r="A128" s="10">
        <v>126</v>
      </c>
      <c r="B128" s="11" t="s">
        <v>46</v>
      </c>
      <c r="C128" s="10" t="str">
        <f>"892829012829"</f>
        <v>892829012829</v>
      </c>
      <c r="D128" s="10">
        <v>73</v>
      </c>
      <c r="E128" s="10">
        <v>58</v>
      </c>
      <c r="F128" s="14">
        <f t="shared" si="6"/>
        <v>64.75</v>
      </c>
      <c r="G128" s="15">
        <v>79.4</v>
      </c>
      <c r="H128" s="16">
        <f t="shared" si="8"/>
        <v>71.3425</v>
      </c>
      <c r="I128" s="17"/>
    </row>
    <row r="129" spans="1:9" s="1" customFormat="1" ht="20.25" customHeight="1">
      <c r="A129" s="10">
        <v>127</v>
      </c>
      <c r="B129" s="11" t="s">
        <v>46</v>
      </c>
      <c r="C129" s="10" t="str">
        <f>"892914012914"</f>
        <v>892914012914</v>
      </c>
      <c r="D129" s="10">
        <v>76</v>
      </c>
      <c r="E129" s="10">
        <v>54</v>
      </c>
      <c r="F129" s="14">
        <f t="shared" si="6"/>
        <v>63.900000000000006</v>
      </c>
      <c r="G129" s="15">
        <v>75</v>
      </c>
      <c r="H129" s="16">
        <f t="shared" si="8"/>
        <v>68.89500000000001</v>
      </c>
      <c r="I129" s="17"/>
    </row>
    <row r="130" spans="1:9" s="1" customFormat="1" ht="20.25" customHeight="1">
      <c r="A130" s="10">
        <v>128</v>
      </c>
      <c r="B130" s="11" t="s">
        <v>46</v>
      </c>
      <c r="C130" s="10" t="str">
        <f>"892903012903"</f>
        <v>892903012903</v>
      </c>
      <c r="D130" s="10">
        <v>77</v>
      </c>
      <c r="E130" s="10">
        <v>54</v>
      </c>
      <c r="F130" s="14">
        <f t="shared" si="6"/>
        <v>64.35</v>
      </c>
      <c r="G130" s="15">
        <v>72.7</v>
      </c>
      <c r="H130" s="16">
        <f t="shared" si="8"/>
        <v>68.1075</v>
      </c>
      <c r="I130" s="17"/>
    </row>
    <row r="131" spans="1:9" s="2" customFormat="1" ht="20.25" customHeight="1">
      <c r="A131" s="10">
        <v>129</v>
      </c>
      <c r="B131" s="11" t="s">
        <v>46</v>
      </c>
      <c r="C131" s="10" t="str">
        <f>"892907012907"</f>
        <v>892907012907</v>
      </c>
      <c r="D131" s="10">
        <v>68</v>
      </c>
      <c r="E131" s="10">
        <v>61</v>
      </c>
      <c r="F131" s="14">
        <f aca="true" t="shared" si="9" ref="F131:F194">D131*0.45+E131*0.55</f>
        <v>64.15</v>
      </c>
      <c r="G131" s="15">
        <v>50.8</v>
      </c>
      <c r="H131" s="16">
        <f t="shared" si="8"/>
        <v>58.142500000000005</v>
      </c>
      <c r="I131" s="17"/>
    </row>
    <row r="132" spans="1:9" s="2" customFormat="1" ht="20.25" customHeight="1">
      <c r="A132" s="10">
        <v>130</v>
      </c>
      <c r="B132" s="11" t="s">
        <v>46</v>
      </c>
      <c r="C132" s="10" t="str">
        <f>"892916012916"</f>
        <v>892916012916</v>
      </c>
      <c r="D132" s="10">
        <v>71</v>
      </c>
      <c r="E132" s="10">
        <v>59</v>
      </c>
      <c r="F132" s="14">
        <f t="shared" si="9"/>
        <v>64.4</v>
      </c>
      <c r="G132" s="11" t="s">
        <v>12</v>
      </c>
      <c r="H132" s="16" t="s">
        <v>13</v>
      </c>
      <c r="I132" s="17"/>
    </row>
    <row r="133" spans="1:9" s="2" customFormat="1" ht="20.25" customHeight="1">
      <c r="A133" s="10">
        <v>131</v>
      </c>
      <c r="B133" s="11" t="s">
        <v>47</v>
      </c>
      <c r="C133" s="10" t="str">
        <f>"893001013001"</f>
        <v>893001013001</v>
      </c>
      <c r="D133" s="10">
        <v>70</v>
      </c>
      <c r="E133" s="10">
        <v>81</v>
      </c>
      <c r="F133" s="14">
        <f t="shared" si="9"/>
        <v>76.05000000000001</v>
      </c>
      <c r="G133" s="15">
        <v>72.6</v>
      </c>
      <c r="H133" s="16">
        <f aca="true" t="shared" si="10" ref="H133:H148">F133*0.55+G133*0.45</f>
        <v>74.4975</v>
      </c>
      <c r="I133" s="17"/>
    </row>
    <row r="134" spans="1:9" s="2" customFormat="1" ht="20.25" customHeight="1">
      <c r="A134" s="10">
        <v>132</v>
      </c>
      <c r="B134" s="11" t="s">
        <v>47</v>
      </c>
      <c r="C134" s="10" t="str">
        <f>"893128013128"</f>
        <v>893128013128</v>
      </c>
      <c r="D134" s="10">
        <v>75</v>
      </c>
      <c r="E134" s="10">
        <v>69</v>
      </c>
      <c r="F134" s="14">
        <f t="shared" si="9"/>
        <v>71.7</v>
      </c>
      <c r="G134" s="15">
        <v>75</v>
      </c>
      <c r="H134" s="16">
        <f t="shared" si="10"/>
        <v>73.185</v>
      </c>
      <c r="I134" s="17"/>
    </row>
    <row r="135" spans="1:9" s="2" customFormat="1" ht="20.25" customHeight="1">
      <c r="A135" s="10">
        <v>133</v>
      </c>
      <c r="B135" s="11" t="s">
        <v>47</v>
      </c>
      <c r="C135" s="10" t="str">
        <f>"893130013130"</f>
        <v>893130013130</v>
      </c>
      <c r="D135" s="10">
        <v>81</v>
      </c>
      <c r="E135" s="10">
        <v>57</v>
      </c>
      <c r="F135" s="14">
        <f t="shared" si="9"/>
        <v>67.80000000000001</v>
      </c>
      <c r="G135" s="15">
        <v>77.4</v>
      </c>
      <c r="H135" s="16">
        <f t="shared" si="10"/>
        <v>72.12</v>
      </c>
      <c r="I135" s="17"/>
    </row>
    <row r="136" spans="1:9" s="2" customFormat="1" ht="20.25" customHeight="1">
      <c r="A136" s="10">
        <v>134</v>
      </c>
      <c r="B136" s="11" t="s">
        <v>47</v>
      </c>
      <c r="C136" s="10" t="str">
        <f>"893017013017"</f>
        <v>893017013017</v>
      </c>
      <c r="D136" s="10">
        <v>70</v>
      </c>
      <c r="E136" s="10">
        <v>62</v>
      </c>
      <c r="F136" s="14">
        <f t="shared" si="9"/>
        <v>65.6</v>
      </c>
      <c r="G136" s="15">
        <v>74.2</v>
      </c>
      <c r="H136" s="16">
        <f t="shared" si="10"/>
        <v>69.47</v>
      </c>
      <c r="I136" s="17"/>
    </row>
    <row r="137" spans="1:9" s="2" customFormat="1" ht="20.25" customHeight="1">
      <c r="A137" s="10">
        <v>135</v>
      </c>
      <c r="B137" s="11" t="s">
        <v>47</v>
      </c>
      <c r="C137" s="10" t="str">
        <f>"893025013025"</f>
        <v>893025013025</v>
      </c>
      <c r="D137" s="10">
        <v>76</v>
      </c>
      <c r="E137" s="10">
        <v>59</v>
      </c>
      <c r="F137" s="14">
        <f t="shared" si="9"/>
        <v>66.65</v>
      </c>
      <c r="G137" s="15">
        <v>70.8</v>
      </c>
      <c r="H137" s="16">
        <f t="shared" si="10"/>
        <v>68.51750000000001</v>
      </c>
      <c r="I137" s="17"/>
    </row>
    <row r="138" spans="1:9" s="2" customFormat="1" ht="20.25" customHeight="1">
      <c r="A138" s="10">
        <v>136</v>
      </c>
      <c r="B138" s="11" t="s">
        <v>47</v>
      </c>
      <c r="C138" s="10" t="str">
        <f>"893012013012"</f>
        <v>893012013012</v>
      </c>
      <c r="D138" s="10">
        <v>65</v>
      </c>
      <c r="E138" s="10">
        <v>67</v>
      </c>
      <c r="F138" s="14">
        <f t="shared" si="9"/>
        <v>66.1</v>
      </c>
      <c r="G138" s="15">
        <v>69.2</v>
      </c>
      <c r="H138" s="16">
        <f t="shared" si="10"/>
        <v>67.495</v>
      </c>
      <c r="I138" s="17"/>
    </row>
    <row r="139" spans="1:9" s="2" customFormat="1" ht="20.25" customHeight="1">
      <c r="A139" s="10">
        <v>137</v>
      </c>
      <c r="B139" s="11" t="s">
        <v>48</v>
      </c>
      <c r="C139" s="10" t="str">
        <f>"893309013309"</f>
        <v>893309013309</v>
      </c>
      <c r="D139" s="10">
        <v>77</v>
      </c>
      <c r="E139" s="10">
        <v>72</v>
      </c>
      <c r="F139" s="14">
        <f t="shared" si="9"/>
        <v>74.25</v>
      </c>
      <c r="G139" s="15">
        <v>74.2</v>
      </c>
      <c r="H139" s="16">
        <f t="shared" si="10"/>
        <v>74.2275</v>
      </c>
      <c r="I139" s="17"/>
    </row>
    <row r="140" spans="1:9" s="2" customFormat="1" ht="20.25" customHeight="1">
      <c r="A140" s="10">
        <v>138</v>
      </c>
      <c r="B140" s="11" t="s">
        <v>48</v>
      </c>
      <c r="C140" s="10" t="str">
        <f>"893222013222"</f>
        <v>893222013222</v>
      </c>
      <c r="D140" s="10">
        <v>70</v>
      </c>
      <c r="E140" s="10">
        <v>70</v>
      </c>
      <c r="F140" s="14">
        <f t="shared" si="9"/>
        <v>70</v>
      </c>
      <c r="G140" s="15">
        <v>73.2</v>
      </c>
      <c r="H140" s="16">
        <f t="shared" si="10"/>
        <v>71.44</v>
      </c>
      <c r="I140" s="17"/>
    </row>
    <row r="141" spans="1:9" s="2" customFormat="1" ht="20.25" customHeight="1">
      <c r="A141" s="10">
        <v>139</v>
      </c>
      <c r="B141" s="11" t="s">
        <v>48</v>
      </c>
      <c r="C141" s="10" t="str">
        <f>"893223013223"</f>
        <v>893223013223</v>
      </c>
      <c r="D141" s="10">
        <v>70</v>
      </c>
      <c r="E141" s="10">
        <v>68</v>
      </c>
      <c r="F141" s="14">
        <f t="shared" si="9"/>
        <v>68.9</v>
      </c>
      <c r="G141" s="15">
        <v>69</v>
      </c>
      <c r="H141" s="16">
        <f t="shared" si="10"/>
        <v>68.94500000000001</v>
      </c>
      <c r="I141" s="17"/>
    </row>
    <row r="142" spans="1:9" s="2" customFormat="1" ht="20.25" customHeight="1">
      <c r="A142" s="10">
        <v>140</v>
      </c>
      <c r="B142" s="11" t="s">
        <v>49</v>
      </c>
      <c r="C142" s="10" t="str">
        <f>"893324013324"</f>
        <v>893324013324</v>
      </c>
      <c r="D142" s="10">
        <v>72</v>
      </c>
      <c r="E142" s="10">
        <v>73</v>
      </c>
      <c r="F142" s="14">
        <f t="shared" si="9"/>
        <v>72.55000000000001</v>
      </c>
      <c r="G142" s="15">
        <v>76.8</v>
      </c>
      <c r="H142" s="16">
        <f t="shared" si="10"/>
        <v>74.4625</v>
      </c>
      <c r="I142" s="17"/>
    </row>
    <row r="143" spans="1:9" s="2" customFormat="1" ht="20.25" customHeight="1">
      <c r="A143" s="10">
        <v>141</v>
      </c>
      <c r="B143" s="11" t="s">
        <v>49</v>
      </c>
      <c r="C143" s="10" t="str">
        <f>"893414013414"</f>
        <v>893414013414</v>
      </c>
      <c r="D143" s="10">
        <v>65</v>
      </c>
      <c r="E143" s="10">
        <v>68</v>
      </c>
      <c r="F143" s="14">
        <f t="shared" si="9"/>
        <v>66.65</v>
      </c>
      <c r="G143" s="15">
        <v>71.4</v>
      </c>
      <c r="H143" s="16">
        <f t="shared" si="10"/>
        <v>68.78750000000001</v>
      </c>
      <c r="I143" s="17"/>
    </row>
    <row r="144" spans="1:9" s="2" customFormat="1" ht="20.25" customHeight="1">
      <c r="A144" s="10">
        <v>142</v>
      </c>
      <c r="B144" s="11" t="s">
        <v>49</v>
      </c>
      <c r="C144" s="10" t="str">
        <f>"893320013320"</f>
        <v>893320013320</v>
      </c>
      <c r="D144" s="10">
        <v>65</v>
      </c>
      <c r="E144" s="10">
        <v>65</v>
      </c>
      <c r="F144" s="14">
        <f t="shared" si="9"/>
        <v>65</v>
      </c>
      <c r="G144" s="15">
        <v>73</v>
      </c>
      <c r="H144" s="16">
        <f t="shared" si="10"/>
        <v>68.6</v>
      </c>
      <c r="I144" s="17"/>
    </row>
    <row r="145" spans="1:9" s="2" customFormat="1" ht="20.25" customHeight="1">
      <c r="A145" s="10">
        <v>143</v>
      </c>
      <c r="B145" s="11" t="s">
        <v>50</v>
      </c>
      <c r="C145" s="10" t="str">
        <f>"893501013501"</f>
        <v>893501013501</v>
      </c>
      <c r="D145" s="10">
        <v>66</v>
      </c>
      <c r="E145" s="10">
        <v>79</v>
      </c>
      <c r="F145" s="14">
        <f t="shared" si="9"/>
        <v>73.15</v>
      </c>
      <c r="G145" s="15">
        <v>77.8</v>
      </c>
      <c r="H145" s="16">
        <f t="shared" si="10"/>
        <v>75.2425</v>
      </c>
      <c r="I145" s="17"/>
    </row>
    <row r="146" spans="1:9" s="2" customFormat="1" ht="20.25" customHeight="1">
      <c r="A146" s="10">
        <v>144</v>
      </c>
      <c r="B146" s="11" t="s">
        <v>50</v>
      </c>
      <c r="C146" s="10" t="str">
        <f>"893502013502"</f>
        <v>893502013502</v>
      </c>
      <c r="D146" s="10">
        <v>81</v>
      </c>
      <c r="E146" s="10">
        <v>62</v>
      </c>
      <c r="F146" s="14">
        <f t="shared" si="9"/>
        <v>70.55000000000001</v>
      </c>
      <c r="G146" s="15">
        <v>75.8</v>
      </c>
      <c r="H146" s="16">
        <f t="shared" si="10"/>
        <v>72.91250000000001</v>
      </c>
      <c r="I146" s="17"/>
    </row>
    <row r="147" spans="1:9" s="2" customFormat="1" ht="20.25" customHeight="1">
      <c r="A147" s="10">
        <v>145</v>
      </c>
      <c r="B147" s="11" t="s">
        <v>50</v>
      </c>
      <c r="C147" s="10" t="str">
        <f>"893510013510"</f>
        <v>893510013510</v>
      </c>
      <c r="D147" s="10">
        <v>71</v>
      </c>
      <c r="E147" s="10">
        <v>64</v>
      </c>
      <c r="F147" s="14">
        <f t="shared" si="9"/>
        <v>67.15</v>
      </c>
      <c r="G147" s="15">
        <v>72.4</v>
      </c>
      <c r="H147" s="16">
        <f t="shared" si="10"/>
        <v>69.51250000000002</v>
      </c>
      <c r="I147" s="17"/>
    </row>
    <row r="148" spans="1:9" s="2" customFormat="1" ht="20.25" customHeight="1">
      <c r="A148" s="10">
        <v>146</v>
      </c>
      <c r="B148" s="11" t="s">
        <v>50</v>
      </c>
      <c r="C148" s="10" t="str">
        <f>"893430013430"</f>
        <v>893430013430</v>
      </c>
      <c r="D148" s="10">
        <v>71</v>
      </c>
      <c r="E148" s="10">
        <v>56</v>
      </c>
      <c r="F148" s="14">
        <f t="shared" si="9"/>
        <v>62.75</v>
      </c>
      <c r="G148" s="15">
        <v>72.6</v>
      </c>
      <c r="H148" s="16">
        <f t="shared" si="10"/>
        <v>67.1825</v>
      </c>
      <c r="I148" s="17"/>
    </row>
    <row r="149" spans="1:9" s="2" customFormat="1" ht="20.25" customHeight="1">
      <c r="A149" s="10">
        <v>147</v>
      </c>
      <c r="B149" s="11" t="s">
        <v>50</v>
      </c>
      <c r="C149" s="10" t="str">
        <f>"893516013516"</f>
        <v>893516013516</v>
      </c>
      <c r="D149" s="10">
        <v>70</v>
      </c>
      <c r="E149" s="10">
        <v>57</v>
      </c>
      <c r="F149" s="14">
        <f t="shared" si="9"/>
        <v>62.85</v>
      </c>
      <c r="G149" s="18" t="s">
        <v>51</v>
      </c>
      <c r="H149" s="16" t="s">
        <v>13</v>
      </c>
      <c r="I149" s="19"/>
    </row>
    <row r="150" spans="1:9" s="1" customFormat="1" ht="20.25" customHeight="1">
      <c r="A150" s="10">
        <v>148</v>
      </c>
      <c r="B150" s="11" t="s">
        <v>50</v>
      </c>
      <c r="C150" s="10" t="str">
        <f>"893429013429"</f>
        <v>893429013429</v>
      </c>
      <c r="D150" s="10">
        <v>81</v>
      </c>
      <c r="E150" s="10">
        <v>55</v>
      </c>
      <c r="F150" s="14">
        <f t="shared" si="9"/>
        <v>66.7</v>
      </c>
      <c r="G150" s="11" t="s">
        <v>12</v>
      </c>
      <c r="H150" s="16" t="s">
        <v>13</v>
      </c>
      <c r="I150" s="17"/>
    </row>
    <row r="151" spans="1:9" s="1" customFormat="1" ht="20.25" customHeight="1">
      <c r="A151" s="10">
        <v>149</v>
      </c>
      <c r="B151" s="11" t="s">
        <v>52</v>
      </c>
      <c r="C151" s="10" t="str">
        <f>"893527013527"</f>
        <v>893527013527</v>
      </c>
      <c r="D151" s="10">
        <v>80</v>
      </c>
      <c r="E151" s="10">
        <v>42</v>
      </c>
      <c r="F151" s="14">
        <f t="shared" si="9"/>
        <v>59.1</v>
      </c>
      <c r="G151" s="15">
        <v>75.4</v>
      </c>
      <c r="H151" s="16">
        <f aca="true" t="shared" si="11" ref="H151:H161">F151*0.55+G151*0.45</f>
        <v>66.435</v>
      </c>
      <c r="I151" s="17"/>
    </row>
    <row r="152" spans="1:9" s="1" customFormat="1" ht="20.25" customHeight="1">
      <c r="A152" s="10">
        <v>150</v>
      </c>
      <c r="B152" s="11" t="s">
        <v>52</v>
      </c>
      <c r="C152" s="10" t="str">
        <f>"893530013530"</f>
        <v>893530013530</v>
      </c>
      <c r="D152" s="10">
        <v>57</v>
      </c>
      <c r="E152" s="10">
        <v>62</v>
      </c>
      <c r="F152" s="14">
        <f t="shared" si="9"/>
        <v>59.75</v>
      </c>
      <c r="G152" s="15">
        <v>74.2</v>
      </c>
      <c r="H152" s="16">
        <f t="shared" si="11"/>
        <v>66.2525</v>
      </c>
      <c r="I152" s="17"/>
    </row>
    <row r="153" spans="1:9" s="1" customFormat="1" ht="20.25" customHeight="1">
      <c r="A153" s="10">
        <v>151</v>
      </c>
      <c r="B153" s="11" t="s">
        <v>52</v>
      </c>
      <c r="C153" s="10" t="str">
        <f>"893601013601"</f>
        <v>893601013601</v>
      </c>
      <c r="D153" s="10">
        <v>63</v>
      </c>
      <c r="E153" s="10">
        <v>45</v>
      </c>
      <c r="F153" s="14">
        <f t="shared" si="9"/>
        <v>53.10000000000001</v>
      </c>
      <c r="G153" s="15">
        <v>75.8</v>
      </c>
      <c r="H153" s="16">
        <f t="shared" si="11"/>
        <v>63.315000000000005</v>
      </c>
      <c r="I153" s="17"/>
    </row>
    <row r="154" spans="1:9" s="1" customFormat="1" ht="20.25" customHeight="1">
      <c r="A154" s="10">
        <v>152</v>
      </c>
      <c r="B154" s="11" t="s">
        <v>53</v>
      </c>
      <c r="C154" s="10" t="str">
        <f>"893606013606"</f>
        <v>893606013606</v>
      </c>
      <c r="D154" s="10">
        <v>85</v>
      </c>
      <c r="E154" s="10">
        <v>58</v>
      </c>
      <c r="F154" s="14">
        <f t="shared" si="9"/>
        <v>70.15</v>
      </c>
      <c r="G154" s="15">
        <v>77.6</v>
      </c>
      <c r="H154" s="16">
        <f t="shared" si="11"/>
        <v>73.5025</v>
      </c>
      <c r="I154" s="17"/>
    </row>
    <row r="155" spans="1:9" s="1" customFormat="1" ht="20.25" customHeight="1">
      <c r="A155" s="10">
        <v>153</v>
      </c>
      <c r="B155" s="11" t="s">
        <v>53</v>
      </c>
      <c r="C155" s="10" t="str">
        <f>"893613013613"</f>
        <v>893613013613</v>
      </c>
      <c r="D155" s="10">
        <v>76</v>
      </c>
      <c r="E155" s="10">
        <v>64</v>
      </c>
      <c r="F155" s="14">
        <f t="shared" si="9"/>
        <v>69.4</v>
      </c>
      <c r="G155" s="15">
        <v>78.2</v>
      </c>
      <c r="H155" s="16">
        <f t="shared" si="11"/>
        <v>73.36000000000001</v>
      </c>
      <c r="I155" s="17"/>
    </row>
    <row r="156" spans="1:9" s="1" customFormat="1" ht="20.25" customHeight="1">
      <c r="A156" s="10">
        <v>154</v>
      </c>
      <c r="B156" s="11" t="s">
        <v>53</v>
      </c>
      <c r="C156" s="10" t="str">
        <f>"893611013611"</f>
        <v>893611013611</v>
      </c>
      <c r="D156" s="10">
        <v>61</v>
      </c>
      <c r="E156" s="10">
        <v>77</v>
      </c>
      <c r="F156" s="14">
        <f t="shared" si="9"/>
        <v>69.8</v>
      </c>
      <c r="G156" s="15">
        <v>74</v>
      </c>
      <c r="H156" s="16">
        <f t="shared" si="11"/>
        <v>71.69</v>
      </c>
      <c r="I156" s="17"/>
    </row>
    <row r="157" spans="1:9" s="1" customFormat="1" ht="20.25" customHeight="1">
      <c r="A157" s="10">
        <v>155</v>
      </c>
      <c r="B157" s="11" t="s">
        <v>54</v>
      </c>
      <c r="C157" s="10" t="str">
        <f>"893716013716"</f>
        <v>893716013716</v>
      </c>
      <c r="D157" s="10">
        <v>59</v>
      </c>
      <c r="E157" s="10">
        <v>64</v>
      </c>
      <c r="F157" s="14">
        <f t="shared" si="9"/>
        <v>61.75</v>
      </c>
      <c r="G157" s="15">
        <v>80</v>
      </c>
      <c r="H157" s="16">
        <f t="shared" si="11"/>
        <v>69.9625</v>
      </c>
      <c r="I157" s="17"/>
    </row>
    <row r="158" spans="1:9" s="1" customFormat="1" ht="20.25" customHeight="1">
      <c r="A158" s="10">
        <v>156</v>
      </c>
      <c r="B158" s="11" t="s">
        <v>54</v>
      </c>
      <c r="C158" s="10" t="str">
        <f>"893723013723"</f>
        <v>893723013723</v>
      </c>
      <c r="D158" s="10">
        <v>75</v>
      </c>
      <c r="E158" s="10">
        <v>49</v>
      </c>
      <c r="F158" s="14">
        <f t="shared" si="9"/>
        <v>60.7</v>
      </c>
      <c r="G158" s="15">
        <v>74.6</v>
      </c>
      <c r="H158" s="16">
        <f t="shared" si="11"/>
        <v>66.95500000000001</v>
      </c>
      <c r="I158" s="17"/>
    </row>
    <row r="159" spans="1:9" s="1" customFormat="1" ht="20.25" customHeight="1">
      <c r="A159" s="10">
        <v>157</v>
      </c>
      <c r="B159" s="11" t="s">
        <v>54</v>
      </c>
      <c r="C159" s="10" t="str">
        <f>"893724013724"</f>
        <v>893724013724</v>
      </c>
      <c r="D159" s="10">
        <v>67</v>
      </c>
      <c r="E159" s="10">
        <v>55</v>
      </c>
      <c r="F159" s="14">
        <f t="shared" si="9"/>
        <v>60.400000000000006</v>
      </c>
      <c r="G159" s="15">
        <v>71.2</v>
      </c>
      <c r="H159" s="16">
        <f t="shared" si="11"/>
        <v>65.26</v>
      </c>
      <c r="I159" s="17"/>
    </row>
    <row r="160" spans="1:9" s="1" customFormat="1" ht="20.25" customHeight="1">
      <c r="A160" s="10">
        <v>158</v>
      </c>
      <c r="B160" s="11" t="s">
        <v>54</v>
      </c>
      <c r="C160" s="10" t="str">
        <f>"893719013719"</f>
        <v>893719013719</v>
      </c>
      <c r="D160" s="10">
        <v>63</v>
      </c>
      <c r="E160" s="10">
        <v>59</v>
      </c>
      <c r="F160" s="14">
        <f t="shared" si="9"/>
        <v>60.800000000000004</v>
      </c>
      <c r="G160" s="15">
        <v>67.6</v>
      </c>
      <c r="H160" s="16">
        <f t="shared" si="11"/>
        <v>63.86</v>
      </c>
      <c r="I160" s="17"/>
    </row>
    <row r="161" spans="1:9" s="1" customFormat="1" ht="20.25" customHeight="1">
      <c r="A161" s="10">
        <v>159</v>
      </c>
      <c r="B161" s="11" t="s">
        <v>54</v>
      </c>
      <c r="C161" s="10" t="str">
        <f>"893718013718"</f>
        <v>893718013718</v>
      </c>
      <c r="D161" s="10">
        <v>70</v>
      </c>
      <c r="E161" s="10">
        <v>44</v>
      </c>
      <c r="F161" s="14">
        <f t="shared" si="9"/>
        <v>55.7</v>
      </c>
      <c r="G161" s="15">
        <v>63.6</v>
      </c>
      <c r="H161" s="16">
        <f t="shared" si="11"/>
        <v>59.25500000000001</v>
      </c>
      <c r="I161" s="17"/>
    </row>
    <row r="162" spans="1:9" s="1" customFormat="1" ht="20.25" customHeight="1">
      <c r="A162" s="10">
        <v>160</v>
      </c>
      <c r="B162" s="11" t="s">
        <v>54</v>
      </c>
      <c r="C162" s="10" t="str">
        <f>"893717013717"</f>
        <v>893717013717</v>
      </c>
      <c r="D162" s="10">
        <v>65</v>
      </c>
      <c r="E162" s="10">
        <v>53</v>
      </c>
      <c r="F162" s="14">
        <f t="shared" si="9"/>
        <v>58.400000000000006</v>
      </c>
      <c r="G162" s="11" t="s">
        <v>12</v>
      </c>
      <c r="H162" s="16" t="s">
        <v>13</v>
      </c>
      <c r="I162" s="17"/>
    </row>
    <row r="163" spans="1:9" s="1" customFormat="1" ht="20.25" customHeight="1">
      <c r="A163" s="10">
        <v>161</v>
      </c>
      <c r="B163" s="11" t="s">
        <v>55</v>
      </c>
      <c r="C163" s="10" t="str">
        <f>"893821013821"</f>
        <v>893821013821</v>
      </c>
      <c r="D163" s="10">
        <v>74</v>
      </c>
      <c r="E163" s="10">
        <v>76</v>
      </c>
      <c r="F163" s="14">
        <f t="shared" si="9"/>
        <v>75.10000000000001</v>
      </c>
      <c r="G163" s="15">
        <v>76</v>
      </c>
      <c r="H163" s="16">
        <f>F163*0.55+G163*0.45</f>
        <v>75.50500000000001</v>
      </c>
      <c r="I163" s="17"/>
    </row>
    <row r="164" spans="1:9" s="1" customFormat="1" ht="20.25" customHeight="1">
      <c r="A164" s="10">
        <v>162</v>
      </c>
      <c r="B164" s="11" t="s">
        <v>55</v>
      </c>
      <c r="C164" s="10" t="str">
        <f>"893729013729"</f>
        <v>893729013729</v>
      </c>
      <c r="D164" s="10">
        <v>70</v>
      </c>
      <c r="E164" s="10">
        <v>66</v>
      </c>
      <c r="F164" s="14">
        <f t="shared" si="9"/>
        <v>67.80000000000001</v>
      </c>
      <c r="G164" s="15">
        <v>75.4</v>
      </c>
      <c r="H164" s="16">
        <f>F164*0.55+G164*0.45</f>
        <v>71.22000000000001</v>
      </c>
      <c r="I164" s="17"/>
    </row>
    <row r="165" spans="1:9" s="1" customFormat="1" ht="20.25" customHeight="1">
      <c r="A165" s="10">
        <v>163</v>
      </c>
      <c r="B165" s="11" t="s">
        <v>55</v>
      </c>
      <c r="C165" s="10" t="str">
        <f>"893801013801"</f>
        <v>893801013801</v>
      </c>
      <c r="D165" s="10">
        <v>67</v>
      </c>
      <c r="E165" s="10">
        <v>72</v>
      </c>
      <c r="F165" s="14">
        <f t="shared" si="9"/>
        <v>69.75</v>
      </c>
      <c r="G165" s="11" t="s">
        <v>12</v>
      </c>
      <c r="H165" s="16" t="s">
        <v>13</v>
      </c>
      <c r="I165" s="17"/>
    </row>
    <row r="166" spans="1:9" s="1" customFormat="1" ht="20.25" customHeight="1">
      <c r="A166" s="10">
        <v>164</v>
      </c>
      <c r="B166" s="11" t="s">
        <v>56</v>
      </c>
      <c r="C166" s="10" t="str">
        <f>"893903013903"</f>
        <v>893903013903</v>
      </c>
      <c r="D166" s="10">
        <v>69</v>
      </c>
      <c r="E166" s="10">
        <v>59</v>
      </c>
      <c r="F166" s="14">
        <f t="shared" si="9"/>
        <v>63.5</v>
      </c>
      <c r="G166" s="15">
        <v>79.4</v>
      </c>
      <c r="H166" s="16">
        <f>F166*0.55+G166*0.45</f>
        <v>70.655</v>
      </c>
      <c r="I166" s="17"/>
    </row>
    <row r="167" spans="1:9" s="1" customFormat="1" ht="20.25" customHeight="1">
      <c r="A167" s="10">
        <v>165</v>
      </c>
      <c r="B167" s="11" t="s">
        <v>56</v>
      </c>
      <c r="C167" s="10" t="str">
        <f>"893904013904"</f>
        <v>893904013904</v>
      </c>
      <c r="D167" s="10">
        <v>66</v>
      </c>
      <c r="E167" s="10">
        <v>68</v>
      </c>
      <c r="F167" s="14">
        <f t="shared" si="9"/>
        <v>67.10000000000001</v>
      </c>
      <c r="G167" s="15">
        <v>73.6</v>
      </c>
      <c r="H167" s="16">
        <f>F167*0.55+G167*0.45</f>
        <v>70.025</v>
      </c>
      <c r="I167" s="17"/>
    </row>
    <row r="168" spans="1:9" s="1" customFormat="1" ht="20.25" customHeight="1">
      <c r="A168" s="10">
        <v>166</v>
      </c>
      <c r="B168" s="11" t="s">
        <v>56</v>
      </c>
      <c r="C168" s="10" t="str">
        <f>"893826013826"</f>
        <v>893826013826</v>
      </c>
      <c r="D168" s="10">
        <v>65</v>
      </c>
      <c r="E168" s="10">
        <v>56</v>
      </c>
      <c r="F168" s="14">
        <f t="shared" si="9"/>
        <v>60.050000000000004</v>
      </c>
      <c r="G168" s="15">
        <v>74.6</v>
      </c>
      <c r="H168" s="16">
        <f>F168*0.55+G168*0.45</f>
        <v>66.5975</v>
      </c>
      <c r="I168" s="17"/>
    </row>
    <row r="169" spans="1:9" s="1" customFormat="1" ht="20.25" customHeight="1">
      <c r="A169" s="10">
        <v>167</v>
      </c>
      <c r="B169" s="11" t="s">
        <v>57</v>
      </c>
      <c r="C169" s="10" t="str">
        <f>"894005014005"</f>
        <v>894005014005</v>
      </c>
      <c r="D169" s="10">
        <v>75</v>
      </c>
      <c r="E169" s="10">
        <v>66</v>
      </c>
      <c r="F169" s="14">
        <f t="shared" si="9"/>
        <v>70.05000000000001</v>
      </c>
      <c r="G169" s="15">
        <v>73.8</v>
      </c>
      <c r="H169" s="16">
        <f>F169*0.55+G169*0.45</f>
        <v>71.73750000000001</v>
      </c>
      <c r="I169" s="17"/>
    </row>
    <row r="170" spans="1:9" s="1" customFormat="1" ht="20.25" customHeight="1">
      <c r="A170" s="10">
        <v>168</v>
      </c>
      <c r="B170" s="11" t="s">
        <v>57</v>
      </c>
      <c r="C170" s="10" t="str">
        <f>"893920013920"</f>
        <v>893920013920</v>
      </c>
      <c r="D170" s="10">
        <v>74</v>
      </c>
      <c r="E170" s="10">
        <v>66</v>
      </c>
      <c r="F170" s="14">
        <f t="shared" si="9"/>
        <v>69.60000000000001</v>
      </c>
      <c r="G170" s="15">
        <v>72</v>
      </c>
      <c r="H170" s="16">
        <f>F170*0.55+G170*0.45</f>
        <v>70.68</v>
      </c>
      <c r="I170" s="17"/>
    </row>
    <row r="171" spans="1:9" s="1" customFormat="1" ht="20.25" customHeight="1">
      <c r="A171" s="10">
        <v>169</v>
      </c>
      <c r="B171" s="11" t="s">
        <v>57</v>
      </c>
      <c r="C171" s="10" t="str">
        <f>"894002014002"</f>
        <v>894002014002</v>
      </c>
      <c r="D171" s="10">
        <v>73</v>
      </c>
      <c r="E171" s="10">
        <v>73</v>
      </c>
      <c r="F171" s="14">
        <f t="shared" si="9"/>
        <v>73</v>
      </c>
      <c r="G171" s="18" t="s">
        <v>51</v>
      </c>
      <c r="I171" s="17"/>
    </row>
    <row r="172" spans="1:9" s="2" customFormat="1" ht="20.25" customHeight="1">
      <c r="A172" s="10">
        <v>170</v>
      </c>
      <c r="B172" s="11" t="s">
        <v>58</v>
      </c>
      <c r="C172" s="10" t="str">
        <f>"894022014022"</f>
        <v>894022014022</v>
      </c>
      <c r="D172" s="10">
        <v>76</v>
      </c>
      <c r="E172" s="10">
        <v>67</v>
      </c>
      <c r="F172" s="14">
        <f t="shared" si="9"/>
        <v>71.05000000000001</v>
      </c>
      <c r="G172" s="15">
        <v>77.6</v>
      </c>
      <c r="H172" s="16">
        <f aca="true" t="shared" si="12" ref="H170:H176">F172*0.55+G172*0.45</f>
        <v>73.9975</v>
      </c>
      <c r="I172" s="17"/>
    </row>
    <row r="173" spans="1:9" s="2" customFormat="1" ht="20.25" customHeight="1">
      <c r="A173" s="10">
        <v>171</v>
      </c>
      <c r="B173" s="11" t="s">
        <v>58</v>
      </c>
      <c r="C173" s="10" t="str">
        <f>"894008014008"</f>
        <v>894008014008</v>
      </c>
      <c r="D173" s="10">
        <v>72</v>
      </c>
      <c r="E173" s="10">
        <v>66</v>
      </c>
      <c r="F173" s="14">
        <f t="shared" si="9"/>
        <v>68.7</v>
      </c>
      <c r="G173" s="15">
        <v>76</v>
      </c>
      <c r="H173" s="16">
        <f t="shared" si="12"/>
        <v>71.98500000000001</v>
      </c>
      <c r="I173" s="17"/>
    </row>
    <row r="174" spans="1:9" s="2" customFormat="1" ht="20.25" customHeight="1">
      <c r="A174" s="10">
        <v>172</v>
      </c>
      <c r="B174" s="11" t="s">
        <v>58</v>
      </c>
      <c r="C174" s="10" t="str">
        <f>"894023014023"</f>
        <v>894023014023</v>
      </c>
      <c r="D174" s="10">
        <v>81</v>
      </c>
      <c r="E174" s="10">
        <v>58</v>
      </c>
      <c r="F174" s="14">
        <f t="shared" si="9"/>
        <v>68.35000000000001</v>
      </c>
      <c r="G174" s="15">
        <v>75.3</v>
      </c>
      <c r="H174" s="16">
        <f t="shared" si="12"/>
        <v>71.4775</v>
      </c>
      <c r="I174" s="17"/>
    </row>
    <row r="175" spans="1:9" s="2" customFormat="1" ht="20.25" customHeight="1">
      <c r="A175" s="10">
        <v>173</v>
      </c>
      <c r="B175" s="11" t="s">
        <v>59</v>
      </c>
      <c r="C175" s="10" t="str">
        <f>"894122014122"</f>
        <v>894122014122</v>
      </c>
      <c r="D175" s="10">
        <v>74</v>
      </c>
      <c r="E175" s="10">
        <v>78</v>
      </c>
      <c r="F175" s="14">
        <f t="shared" si="9"/>
        <v>76.20000000000002</v>
      </c>
      <c r="G175" s="15">
        <v>73.8</v>
      </c>
      <c r="H175" s="16">
        <f t="shared" si="12"/>
        <v>75.12</v>
      </c>
      <c r="I175" s="17"/>
    </row>
    <row r="176" spans="1:9" s="2" customFormat="1" ht="20.25" customHeight="1">
      <c r="A176" s="10">
        <v>174</v>
      </c>
      <c r="B176" s="11" t="s">
        <v>59</v>
      </c>
      <c r="C176" s="10" t="str">
        <f>"894123014123"</f>
        <v>894123014123</v>
      </c>
      <c r="D176" s="10">
        <v>75</v>
      </c>
      <c r="E176" s="10">
        <v>59</v>
      </c>
      <c r="F176" s="14">
        <f t="shared" si="9"/>
        <v>66.2</v>
      </c>
      <c r="G176" s="15">
        <v>73.8</v>
      </c>
      <c r="H176" s="16">
        <f t="shared" si="12"/>
        <v>69.62</v>
      </c>
      <c r="I176" s="17"/>
    </row>
    <row r="177" spans="1:9" s="2" customFormat="1" ht="20.25" customHeight="1">
      <c r="A177" s="10">
        <v>175</v>
      </c>
      <c r="B177" s="11" t="s">
        <v>59</v>
      </c>
      <c r="C177" s="10" t="str">
        <f>"894125014125"</f>
        <v>894125014125</v>
      </c>
      <c r="D177" s="10">
        <v>81</v>
      </c>
      <c r="E177" s="10">
        <v>55</v>
      </c>
      <c r="F177" s="14">
        <f t="shared" si="9"/>
        <v>66.7</v>
      </c>
      <c r="G177" s="11" t="s">
        <v>12</v>
      </c>
      <c r="H177" s="16" t="s">
        <v>13</v>
      </c>
      <c r="I177" s="17"/>
    </row>
    <row r="178" spans="1:9" s="2" customFormat="1" ht="20.25" customHeight="1">
      <c r="A178" s="10">
        <v>176</v>
      </c>
      <c r="B178" s="11" t="s">
        <v>60</v>
      </c>
      <c r="C178" s="10" t="str">
        <f>"894207014207"</f>
        <v>894207014207</v>
      </c>
      <c r="D178" s="10">
        <v>79</v>
      </c>
      <c r="E178" s="10">
        <v>55</v>
      </c>
      <c r="F178" s="14">
        <f t="shared" si="9"/>
        <v>65.80000000000001</v>
      </c>
      <c r="G178" s="15">
        <v>78.2</v>
      </c>
      <c r="H178" s="16">
        <f aca="true" t="shared" si="13" ref="H178:H209">F178*0.55+G178*0.45</f>
        <v>71.38000000000002</v>
      </c>
      <c r="I178" s="17"/>
    </row>
    <row r="179" spans="1:9" s="2" customFormat="1" ht="20.25" customHeight="1">
      <c r="A179" s="10">
        <v>177</v>
      </c>
      <c r="B179" s="11" t="s">
        <v>60</v>
      </c>
      <c r="C179" s="10" t="str">
        <f>"894213014213"</f>
        <v>894213014213</v>
      </c>
      <c r="D179" s="10">
        <v>66</v>
      </c>
      <c r="E179" s="10">
        <v>65</v>
      </c>
      <c r="F179" s="14">
        <f t="shared" si="9"/>
        <v>65.45</v>
      </c>
      <c r="G179" s="15">
        <v>74.8</v>
      </c>
      <c r="H179" s="16">
        <f t="shared" si="13"/>
        <v>69.6575</v>
      </c>
      <c r="I179" s="17"/>
    </row>
    <row r="180" spans="1:9" s="2" customFormat="1" ht="20.25" customHeight="1">
      <c r="A180" s="10">
        <v>178</v>
      </c>
      <c r="B180" s="11" t="s">
        <v>60</v>
      </c>
      <c r="C180" s="10" t="str">
        <f>"894216014216"</f>
        <v>894216014216</v>
      </c>
      <c r="D180" s="10">
        <v>64</v>
      </c>
      <c r="E180" s="10">
        <v>57</v>
      </c>
      <c r="F180" s="14">
        <f t="shared" si="9"/>
        <v>60.150000000000006</v>
      </c>
      <c r="G180" s="15">
        <v>68</v>
      </c>
      <c r="H180" s="16">
        <f t="shared" si="13"/>
        <v>63.682500000000005</v>
      </c>
      <c r="I180" s="17"/>
    </row>
    <row r="181" spans="1:9" s="2" customFormat="1" ht="20.25" customHeight="1">
      <c r="A181" s="10">
        <v>179</v>
      </c>
      <c r="B181" s="11" t="s">
        <v>61</v>
      </c>
      <c r="C181" s="10" t="str">
        <f>"894218014218"</f>
        <v>894218014218</v>
      </c>
      <c r="D181" s="10">
        <v>81</v>
      </c>
      <c r="E181" s="10">
        <v>58</v>
      </c>
      <c r="F181" s="14">
        <f t="shared" si="9"/>
        <v>68.35000000000001</v>
      </c>
      <c r="G181" s="15">
        <v>75.5</v>
      </c>
      <c r="H181" s="16">
        <f t="shared" si="13"/>
        <v>71.56750000000001</v>
      </c>
      <c r="I181" s="17"/>
    </row>
    <row r="182" spans="1:9" s="2" customFormat="1" ht="20.25" customHeight="1">
      <c r="A182" s="10">
        <v>180</v>
      </c>
      <c r="B182" s="11" t="s">
        <v>61</v>
      </c>
      <c r="C182" s="10" t="str">
        <f>"894219014219"</f>
        <v>894219014219</v>
      </c>
      <c r="D182" s="10">
        <v>69</v>
      </c>
      <c r="E182" s="10">
        <v>59</v>
      </c>
      <c r="F182" s="14">
        <f t="shared" si="9"/>
        <v>63.5</v>
      </c>
      <c r="G182" s="15">
        <v>72.4</v>
      </c>
      <c r="H182" s="16">
        <f t="shared" si="13"/>
        <v>67.50500000000001</v>
      </c>
      <c r="I182" s="17"/>
    </row>
    <row r="183" spans="1:9" s="2" customFormat="1" ht="20.25" customHeight="1">
      <c r="A183" s="10">
        <v>181</v>
      </c>
      <c r="B183" s="11" t="s">
        <v>62</v>
      </c>
      <c r="C183" s="10" t="str">
        <f>"894311014311"</f>
        <v>894311014311</v>
      </c>
      <c r="D183" s="10">
        <v>82</v>
      </c>
      <c r="E183" s="10">
        <v>63</v>
      </c>
      <c r="F183" s="14">
        <f t="shared" si="9"/>
        <v>71.55000000000001</v>
      </c>
      <c r="G183" s="15">
        <v>77.8</v>
      </c>
      <c r="H183" s="16">
        <f t="shared" si="13"/>
        <v>74.36250000000001</v>
      </c>
      <c r="I183" s="17"/>
    </row>
    <row r="184" spans="1:9" s="2" customFormat="1" ht="20.25" customHeight="1">
      <c r="A184" s="10">
        <v>182</v>
      </c>
      <c r="B184" s="11" t="s">
        <v>62</v>
      </c>
      <c r="C184" s="10" t="str">
        <f>"894304014304"</f>
        <v>894304014304</v>
      </c>
      <c r="D184" s="10">
        <v>78</v>
      </c>
      <c r="E184" s="10">
        <v>71</v>
      </c>
      <c r="F184" s="14">
        <f t="shared" si="9"/>
        <v>74.15</v>
      </c>
      <c r="G184" s="15">
        <v>74.2</v>
      </c>
      <c r="H184" s="16">
        <f t="shared" si="13"/>
        <v>74.17250000000001</v>
      </c>
      <c r="I184" s="17"/>
    </row>
    <row r="185" spans="1:9" s="2" customFormat="1" ht="20.25" customHeight="1">
      <c r="A185" s="10">
        <v>183</v>
      </c>
      <c r="B185" s="11" t="s">
        <v>62</v>
      </c>
      <c r="C185" s="10" t="str">
        <f>"894303014303"</f>
        <v>894303014303</v>
      </c>
      <c r="D185" s="10">
        <v>80</v>
      </c>
      <c r="E185" s="10">
        <v>63</v>
      </c>
      <c r="F185" s="14">
        <f t="shared" si="9"/>
        <v>70.65</v>
      </c>
      <c r="G185" s="15">
        <v>78.4</v>
      </c>
      <c r="H185" s="16">
        <f t="shared" si="13"/>
        <v>74.13750000000002</v>
      </c>
      <c r="I185" s="17"/>
    </row>
    <row r="186" spans="1:9" s="1" customFormat="1" ht="20.25" customHeight="1">
      <c r="A186" s="10">
        <v>184</v>
      </c>
      <c r="B186" s="11" t="s">
        <v>63</v>
      </c>
      <c r="C186" s="10" t="str">
        <f>"894315014315"</f>
        <v>894315014315</v>
      </c>
      <c r="D186" s="10">
        <v>81</v>
      </c>
      <c r="E186" s="10">
        <v>53</v>
      </c>
      <c r="F186" s="14">
        <f t="shared" si="9"/>
        <v>65.60000000000001</v>
      </c>
      <c r="G186" s="15">
        <v>72.8</v>
      </c>
      <c r="H186" s="16">
        <f t="shared" si="13"/>
        <v>68.84</v>
      </c>
      <c r="I186" s="17"/>
    </row>
    <row r="187" spans="1:9" s="1" customFormat="1" ht="20.25" customHeight="1">
      <c r="A187" s="10">
        <v>185</v>
      </c>
      <c r="B187" s="11" t="s">
        <v>63</v>
      </c>
      <c r="C187" s="10" t="str">
        <f>"894321014321"</f>
        <v>894321014321</v>
      </c>
      <c r="D187" s="10">
        <v>80</v>
      </c>
      <c r="E187" s="10">
        <v>51</v>
      </c>
      <c r="F187" s="14">
        <f t="shared" si="9"/>
        <v>64.05</v>
      </c>
      <c r="G187" s="15">
        <v>74.6</v>
      </c>
      <c r="H187" s="16">
        <f t="shared" si="13"/>
        <v>68.7975</v>
      </c>
      <c r="I187" s="17"/>
    </row>
    <row r="188" spans="1:9" s="1" customFormat="1" ht="20.25" customHeight="1">
      <c r="A188" s="10">
        <v>186</v>
      </c>
      <c r="B188" s="11" t="s">
        <v>63</v>
      </c>
      <c r="C188" s="10" t="str">
        <f>"894326014326"</f>
        <v>894326014326</v>
      </c>
      <c r="D188" s="10">
        <v>73</v>
      </c>
      <c r="E188" s="10">
        <v>57</v>
      </c>
      <c r="F188" s="14">
        <f t="shared" si="9"/>
        <v>64.2</v>
      </c>
      <c r="G188" s="15">
        <v>62.6</v>
      </c>
      <c r="H188" s="16">
        <f t="shared" si="13"/>
        <v>63.480000000000004</v>
      </c>
      <c r="I188" s="17"/>
    </row>
    <row r="189" spans="1:9" s="1" customFormat="1" ht="20.25" customHeight="1">
      <c r="A189" s="10">
        <v>187</v>
      </c>
      <c r="B189" s="11" t="s">
        <v>64</v>
      </c>
      <c r="C189" s="10" t="str">
        <f>"891218231218"</f>
        <v>891218231218</v>
      </c>
      <c r="D189" s="10">
        <v>60</v>
      </c>
      <c r="E189" s="10">
        <v>60</v>
      </c>
      <c r="F189" s="14">
        <f t="shared" si="9"/>
        <v>60</v>
      </c>
      <c r="G189" s="15">
        <v>70.2</v>
      </c>
      <c r="H189" s="16">
        <f t="shared" si="13"/>
        <v>64.59</v>
      </c>
      <c r="I189" s="17"/>
    </row>
    <row r="190" spans="1:9" s="1" customFormat="1" ht="20.25" customHeight="1">
      <c r="A190" s="10">
        <v>188</v>
      </c>
      <c r="B190" s="11" t="s">
        <v>64</v>
      </c>
      <c r="C190" s="10" t="str">
        <f>"891212231212"</f>
        <v>891212231212</v>
      </c>
      <c r="D190" s="10">
        <v>58</v>
      </c>
      <c r="E190" s="10">
        <v>53</v>
      </c>
      <c r="F190" s="14">
        <f t="shared" si="9"/>
        <v>55.25</v>
      </c>
      <c r="G190" s="15">
        <v>67.6</v>
      </c>
      <c r="H190" s="16">
        <f t="shared" si="13"/>
        <v>60.807500000000005</v>
      </c>
      <c r="I190" s="17"/>
    </row>
    <row r="191" spans="1:9" s="1" customFormat="1" ht="20.25" customHeight="1">
      <c r="A191" s="10">
        <v>189</v>
      </c>
      <c r="B191" s="11" t="s">
        <v>65</v>
      </c>
      <c r="C191" s="10" t="str">
        <f>"894414014414"</f>
        <v>894414014414</v>
      </c>
      <c r="D191" s="10">
        <v>80</v>
      </c>
      <c r="E191" s="10">
        <v>62</v>
      </c>
      <c r="F191" s="14">
        <f t="shared" si="9"/>
        <v>70.1</v>
      </c>
      <c r="G191" s="15">
        <v>74.4</v>
      </c>
      <c r="H191" s="16">
        <f t="shared" si="13"/>
        <v>72.035</v>
      </c>
      <c r="I191" s="17"/>
    </row>
    <row r="192" spans="1:9" s="1" customFormat="1" ht="20.25" customHeight="1">
      <c r="A192" s="10">
        <v>190</v>
      </c>
      <c r="B192" s="11" t="s">
        <v>65</v>
      </c>
      <c r="C192" s="10" t="str">
        <f>"894410014410"</f>
        <v>894410014410</v>
      </c>
      <c r="D192" s="10">
        <v>81</v>
      </c>
      <c r="E192" s="10">
        <v>54</v>
      </c>
      <c r="F192" s="14">
        <f t="shared" si="9"/>
        <v>66.15</v>
      </c>
      <c r="G192" s="15">
        <v>73.6</v>
      </c>
      <c r="H192" s="16">
        <f t="shared" si="13"/>
        <v>69.5025</v>
      </c>
      <c r="I192" s="17"/>
    </row>
    <row r="193" spans="1:9" s="1" customFormat="1" ht="20.25" customHeight="1">
      <c r="A193" s="10">
        <v>191</v>
      </c>
      <c r="B193" s="11" t="s">
        <v>65</v>
      </c>
      <c r="C193" s="10" t="str">
        <f>"894427014427"</f>
        <v>894427014427</v>
      </c>
      <c r="D193" s="10">
        <v>74</v>
      </c>
      <c r="E193" s="10">
        <v>55</v>
      </c>
      <c r="F193" s="14">
        <f t="shared" si="9"/>
        <v>63.55000000000001</v>
      </c>
      <c r="G193" s="15">
        <v>74</v>
      </c>
      <c r="H193" s="16">
        <f t="shared" si="13"/>
        <v>68.25250000000001</v>
      </c>
      <c r="I193" s="17"/>
    </row>
    <row r="194" spans="1:9" s="1" customFormat="1" ht="20.25" customHeight="1">
      <c r="A194" s="10">
        <v>192</v>
      </c>
      <c r="B194" s="11" t="s">
        <v>66</v>
      </c>
      <c r="C194" s="10" t="str">
        <f>"894513014513"</f>
        <v>894513014513</v>
      </c>
      <c r="D194" s="10">
        <v>68</v>
      </c>
      <c r="E194" s="10">
        <v>51</v>
      </c>
      <c r="F194" s="14">
        <f t="shared" si="9"/>
        <v>58.650000000000006</v>
      </c>
      <c r="G194" s="15">
        <v>71.2</v>
      </c>
      <c r="H194" s="16">
        <f t="shared" si="13"/>
        <v>64.29750000000001</v>
      </c>
      <c r="I194" s="17"/>
    </row>
    <row r="195" spans="1:9" s="1" customFormat="1" ht="20.25" customHeight="1">
      <c r="A195" s="10">
        <v>193</v>
      </c>
      <c r="B195" s="11" t="s">
        <v>67</v>
      </c>
      <c r="C195" s="10" t="str">
        <f>"890125120125"</f>
        <v>890125120125</v>
      </c>
      <c r="D195" s="10">
        <v>66</v>
      </c>
      <c r="E195" s="10">
        <v>71</v>
      </c>
      <c r="F195" s="14">
        <f aca="true" t="shared" si="14" ref="F195:F258">D195*0.45+E195*0.55</f>
        <v>68.75</v>
      </c>
      <c r="G195" s="15">
        <v>77.4</v>
      </c>
      <c r="H195" s="16">
        <f t="shared" si="13"/>
        <v>72.64250000000001</v>
      </c>
      <c r="I195" s="17"/>
    </row>
    <row r="196" spans="1:9" s="1" customFormat="1" ht="20.25" customHeight="1">
      <c r="A196" s="10">
        <v>194</v>
      </c>
      <c r="B196" s="11" t="s">
        <v>67</v>
      </c>
      <c r="C196" s="10" t="str">
        <f>"890114120114"</f>
        <v>890114120114</v>
      </c>
      <c r="D196" s="10">
        <v>68</v>
      </c>
      <c r="E196" s="10">
        <v>69</v>
      </c>
      <c r="F196" s="14">
        <f t="shared" si="14"/>
        <v>68.55000000000001</v>
      </c>
      <c r="G196" s="15">
        <v>70.8</v>
      </c>
      <c r="H196" s="16">
        <f t="shared" si="13"/>
        <v>69.5625</v>
      </c>
      <c r="I196" s="17"/>
    </row>
    <row r="197" spans="1:9" s="1" customFormat="1" ht="20.25" customHeight="1">
      <c r="A197" s="10">
        <v>195</v>
      </c>
      <c r="B197" s="11" t="s">
        <v>67</v>
      </c>
      <c r="C197" s="10" t="str">
        <f>"890128120128"</f>
        <v>890128120128</v>
      </c>
      <c r="D197" s="10">
        <v>71</v>
      </c>
      <c r="E197" s="10">
        <v>67</v>
      </c>
      <c r="F197" s="14">
        <f t="shared" si="14"/>
        <v>68.8</v>
      </c>
      <c r="G197" s="15">
        <v>70.4</v>
      </c>
      <c r="H197" s="16">
        <f t="shared" si="13"/>
        <v>69.52000000000001</v>
      </c>
      <c r="I197" s="17"/>
    </row>
    <row r="198" spans="1:9" s="1" customFormat="1" ht="20.25" customHeight="1">
      <c r="A198" s="10">
        <v>196</v>
      </c>
      <c r="B198" s="11" t="s">
        <v>68</v>
      </c>
      <c r="C198" s="10" t="str">
        <f>"890209120209"</f>
        <v>890209120209</v>
      </c>
      <c r="D198" s="10">
        <v>75</v>
      </c>
      <c r="E198" s="10">
        <v>54</v>
      </c>
      <c r="F198" s="14">
        <f t="shared" si="14"/>
        <v>63.45</v>
      </c>
      <c r="G198" s="15">
        <v>81.4</v>
      </c>
      <c r="H198" s="16">
        <f t="shared" si="13"/>
        <v>71.5275</v>
      </c>
      <c r="I198" s="17"/>
    </row>
    <row r="199" spans="1:9" s="1" customFormat="1" ht="20.25" customHeight="1">
      <c r="A199" s="10">
        <v>197</v>
      </c>
      <c r="B199" s="11" t="s">
        <v>68</v>
      </c>
      <c r="C199" s="10" t="str">
        <f>"890212120212"</f>
        <v>890212120212</v>
      </c>
      <c r="D199" s="10">
        <v>80</v>
      </c>
      <c r="E199" s="10">
        <v>57</v>
      </c>
      <c r="F199" s="14">
        <f t="shared" si="14"/>
        <v>67.35</v>
      </c>
      <c r="G199" s="15">
        <v>75.8</v>
      </c>
      <c r="H199" s="16">
        <f t="shared" si="13"/>
        <v>71.1525</v>
      </c>
      <c r="I199" s="17"/>
    </row>
    <row r="200" spans="1:9" s="1" customFormat="1" ht="20.25" customHeight="1">
      <c r="A200" s="10">
        <v>198</v>
      </c>
      <c r="B200" s="11" t="s">
        <v>68</v>
      </c>
      <c r="C200" s="10" t="str">
        <f>"890216120216"</f>
        <v>890216120216</v>
      </c>
      <c r="D200" s="10">
        <v>72</v>
      </c>
      <c r="E200" s="10">
        <v>56</v>
      </c>
      <c r="F200" s="14">
        <f t="shared" si="14"/>
        <v>63.2</v>
      </c>
      <c r="G200" s="15">
        <v>76.6</v>
      </c>
      <c r="H200" s="16">
        <f t="shared" si="13"/>
        <v>69.23</v>
      </c>
      <c r="I200" s="17"/>
    </row>
    <row r="201" spans="1:9" s="1" customFormat="1" ht="20.25" customHeight="1">
      <c r="A201" s="10">
        <v>199</v>
      </c>
      <c r="B201" s="11" t="s">
        <v>69</v>
      </c>
      <c r="C201" s="10" t="str">
        <f>"890223120223"</f>
        <v>890223120223</v>
      </c>
      <c r="D201" s="10">
        <v>71</v>
      </c>
      <c r="E201" s="10">
        <v>57</v>
      </c>
      <c r="F201" s="14">
        <f t="shared" si="14"/>
        <v>63.3</v>
      </c>
      <c r="G201" s="15">
        <v>76.2</v>
      </c>
      <c r="H201" s="16">
        <f t="shared" si="13"/>
        <v>69.10499999999999</v>
      </c>
      <c r="I201" s="17"/>
    </row>
    <row r="202" spans="1:9" s="2" customFormat="1" ht="20.25" customHeight="1">
      <c r="A202" s="10">
        <v>200</v>
      </c>
      <c r="B202" s="11" t="s">
        <v>69</v>
      </c>
      <c r="C202" s="10" t="str">
        <f>"890227120227"</f>
        <v>890227120227</v>
      </c>
      <c r="D202" s="10">
        <v>63</v>
      </c>
      <c r="E202" s="10">
        <v>56</v>
      </c>
      <c r="F202" s="14">
        <f t="shared" si="14"/>
        <v>59.150000000000006</v>
      </c>
      <c r="G202" s="15">
        <v>67</v>
      </c>
      <c r="H202" s="16">
        <f t="shared" si="13"/>
        <v>62.682500000000005</v>
      </c>
      <c r="I202" s="17"/>
    </row>
    <row r="203" spans="1:9" s="2" customFormat="1" ht="20.25" customHeight="1">
      <c r="A203" s="10">
        <v>201</v>
      </c>
      <c r="B203" s="11" t="s">
        <v>70</v>
      </c>
      <c r="C203" s="10" t="str">
        <f>"890302120302"</f>
        <v>890302120302</v>
      </c>
      <c r="D203" s="10">
        <v>74</v>
      </c>
      <c r="E203" s="10">
        <v>66</v>
      </c>
      <c r="F203" s="14">
        <f t="shared" si="14"/>
        <v>69.60000000000001</v>
      </c>
      <c r="G203" s="15">
        <v>73.8</v>
      </c>
      <c r="H203" s="16">
        <f t="shared" si="13"/>
        <v>71.49000000000001</v>
      </c>
      <c r="I203" s="17"/>
    </row>
    <row r="204" spans="1:9" s="2" customFormat="1" ht="20.25" customHeight="1">
      <c r="A204" s="10">
        <v>202</v>
      </c>
      <c r="B204" s="11" t="s">
        <v>70</v>
      </c>
      <c r="C204" s="10" t="str">
        <f>"890303120303"</f>
        <v>890303120303</v>
      </c>
      <c r="D204" s="10">
        <v>75</v>
      </c>
      <c r="E204" s="10">
        <v>54</v>
      </c>
      <c r="F204" s="14">
        <f t="shared" si="14"/>
        <v>63.45</v>
      </c>
      <c r="G204" s="15">
        <v>74.8</v>
      </c>
      <c r="H204" s="16">
        <f t="shared" si="13"/>
        <v>68.5575</v>
      </c>
      <c r="I204" s="17"/>
    </row>
    <row r="205" spans="1:9" s="2" customFormat="1" ht="20.25" customHeight="1">
      <c r="A205" s="10">
        <v>203</v>
      </c>
      <c r="B205" s="11" t="s">
        <v>70</v>
      </c>
      <c r="C205" s="10" t="str">
        <f>"890230120230"</f>
        <v>890230120230</v>
      </c>
      <c r="D205" s="10">
        <v>67</v>
      </c>
      <c r="E205" s="10">
        <v>51</v>
      </c>
      <c r="F205" s="14">
        <f t="shared" si="14"/>
        <v>58.2</v>
      </c>
      <c r="G205" s="15">
        <v>68</v>
      </c>
      <c r="H205" s="16">
        <f t="shared" si="13"/>
        <v>62.61000000000001</v>
      </c>
      <c r="I205" s="17"/>
    </row>
    <row r="206" spans="1:9" s="2" customFormat="1" ht="20.25" customHeight="1">
      <c r="A206" s="10">
        <v>204</v>
      </c>
      <c r="B206" s="11" t="s">
        <v>71</v>
      </c>
      <c r="C206" s="10" t="str">
        <f>"890305120305"</f>
        <v>890305120305</v>
      </c>
      <c r="D206" s="10">
        <v>68</v>
      </c>
      <c r="E206" s="10">
        <v>68</v>
      </c>
      <c r="F206" s="14">
        <f t="shared" si="14"/>
        <v>68</v>
      </c>
      <c r="G206" s="15">
        <v>75.6</v>
      </c>
      <c r="H206" s="16">
        <f t="shared" si="13"/>
        <v>71.42</v>
      </c>
      <c r="I206" s="17"/>
    </row>
    <row r="207" spans="1:9" s="2" customFormat="1" ht="20.25" customHeight="1">
      <c r="A207" s="10">
        <v>205</v>
      </c>
      <c r="B207" s="11" t="s">
        <v>71</v>
      </c>
      <c r="C207" s="10" t="str">
        <f>"890306120306"</f>
        <v>890306120306</v>
      </c>
      <c r="D207" s="10">
        <v>68</v>
      </c>
      <c r="E207" s="10">
        <v>60</v>
      </c>
      <c r="F207" s="14">
        <f t="shared" si="14"/>
        <v>63.6</v>
      </c>
      <c r="G207" s="15">
        <v>58.2</v>
      </c>
      <c r="H207" s="16">
        <f t="shared" si="13"/>
        <v>61.17</v>
      </c>
      <c r="I207" s="17"/>
    </row>
    <row r="208" spans="1:9" s="2" customFormat="1" ht="20.25" customHeight="1">
      <c r="A208" s="10">
        <v>206</v>
      </c>
      <c r="B208" s="11" t="s">
        <v>72</v>
      </c>
      <c r="C208" s="10" t="str">
        <f>"890312120312"</f>
        <v>890312120312</v>
      </c>
      <c r="D208" s="10">
        <v>74</v>
      </c>
      <c r="E208" s="10">
        <v>68</v>
      </c>
      <c r="F208" s="14">
        <f t="shared" si="14"/>
        <v>70.70000000000002</v>
      </c>
      <c r="G208" s="15">
        <v>76</v>
      </c>
      <c r="H208" s="16">
        <f t="shared" si="13"/>
        <v>73.08500000000001</v>
      </c>
      <c r="I208" s="17"/>
    </row>
    <row r="209" spans="1:9" s="2" customFormat="1" ht="20.25" customHeight="1">
      <c r="A209" s="10">
        <v>207</v>
      </c>
      <c r="B209" s="11" t="s">
        <v>72</v>
      </c>
      <c r="C209" s="10" t="str">
        <f>"890322120322"</f>
        <v>890322120322</v>
      </c>
      <c r="D209" s="10">
        <v>76</v>
      </c>
      <c r="E209" s="10">
        <v>67</v>
      </c>
      <c r="F209" s="14">
        <f t="shared" si="14"/>
        <v>71.05000000000001</v>
      </c>
      <c r="G209" s="15">
        <v>73.4</v>
      </c>
      <c r="H209" s="16">
        <f t="shared" si="13"/>
        <v>72.10750000000002</v>
      </c>
      <c r="I209" s="17"/>
    </row>
    <row r="210" spans="1:9" s="2" customFormat="1" ht="20.25" customHeight="1">
      <c r="A210" s="10">
        <v>208</v>
      </c>
      <c r="B210" s="11" t="s">
        <v>72</v>
      </c>
      <c r="C210" s="10" t="str">
        <f>"890310120310"</f>
        <v>890310120310</v>
      </c>
      <c r="D210" s="10">
        <v>76</v>
      </c>
      <c r="E210" s="10">
        <v>68</v>
      </c>
      <c r="F210" s="14">
        <f t="shared" si="14"/>
        <v>71.60000000000001</v>
      </c>
      <c r="G210" s="15">
        <v>70.2</v>
      </c>
      <c r="H210" s="16">
        <f aca="true" t="shared" si="15" ref="H210:H241">F210*0.55+G210*0.45</f>
        <v>70.97000000000001</v>
      </c>
      <c r="I210" s="17"/>
    </row>
    <row r="211" spans="1:9" s="2" customFormat="1" ht="20.25" customHeight="1">
      <c r="A211" s="10">
        <v>209</v>
      </c>
      <c r="B211" s="11" t="s">
        <v>73</v>
      </c>
      <c r="C211" s="10" t="str">
        <f>"890407120407"</f>
        <v>890407120407</v>
      </c>
      <c r="D211" s="10">
        <v>72</v>
      </c>
      <c r="E211" s="10">
        <v>51</v>
      </c>
      <c r="F211" s="14">
        <f t="shared" si="14"/>
        <v>60.45</v>
      </c>
      <c r="G211" s="15">
        <v>76.6</v>
      </c>
      <c r="H211" s="16">
        <f t="shared" si="15"/>
        <v>67.7175</v>
      </c>
      <c r="I211" s="17"/>
    </row>
    <row r="212" spans="1:9" s="2" customFormat="1" ht="20.25" customHeight="1">
      <c r="A212" s="10">
        <v>210</v>
      </c>
      <c r="B212" s="11" t="s">
        <v>73</v>
      </c>
      <c r="C212" s="10" t="str">
        <f>"890410120410"</f>
        <v>890410120410</v>
      </c>
      <c r="D212" s="10">
        <v>71</v>
      </c>
      <c r="E212" s="10">
        <v>54</v>
      </c>
      <c r="F212" s="14">
        <f t="shared" si="14"/>
        <v>61.650000000000006</v>
      </c>
      <c r="G212" s="15">
        <v>73.6</v>
      </c>
      <c r="H212" s="16">
        <f t="shared" si="15"/>
        <v>67.0275</v>
      </c>
      <c r="I212" s="17"/>
    </row>
    <row r="213" spans="1:9" s="2" customFormat="1" ht="20.25" customHeight="1">
      <c r="A213" s="10">
        <v>211</v>
      </c>
      <c r="B213" s="11" t="s">
        <v>73</v>
      </c>
      <c r="C213" s="10" t="str">
        <f>"890330120330"</f>
        <v>890330120330</v>
      </c>
      <c r="D213" s="10">
        <v>63</v>
      </c>
      <c r="E213" s="10">
        <v>62</v>
      </c>
      <c r="F213" s="14">
        <f t="shared" si="14"/>
        <v>62.45</v>
      </c>
      <c r="G213" s="15">
        <v>70</v>
      </c>
      <c r="H213" s="16">
        <f t="shared" si="15"/>
        <v>65.8475</v>
      </c>
      <c r="I213" s="17"/>
    </row>
    <row r="214" spans="1:9" s="2" customFormat="1" ht="20.25" customHeight="1">
      <c r="A214" s="10">
        <v>212</v>
      </c>
      <c r="B214" s="11" t="s">
        <v>74</v>
      </c>
      <c r="C214" s="10" t="str">
        <f>"890415120415"</f>
        <v>890415120415</v>
      </c>
      <c r="D214" s="10">
        <v>71</v>
      </c>
      <c r="E214" s="10">
        <v>51</v>
      </c>
      <c r="F214" s="14">
        <f t="shared" si="14"/>
        <v>60</v>
      </c>
      <c r="G214" s="15">
        <v>78.8</v>
      </c>
      <c r="H214" s="16">
        <f t="shared" si="15"/>
        <v>68.46000000000001</v>
      </c>
      <c r="I214" s="17"/>
    </row>
    <row r="215" spans="1:9" s="2" customFormat="1" ht="20.25" customHeight="1">
      <c r="A215" s="10">
        <v>213</v>
      </c>
      <c r="B215" s="11" t="s">
        <v>74</v>
      </c>
      <c r="C215" s="10" t="str">
        <f>"890420120420"</f>
        <v>890420120420</v>
      </c>
      <c r="D215" s="10">
        <v>74</v>
      </c>
      <c r="E215" s="10">
        <v>55</v>
      </c>
      <c r="F215" s="14">
        <f t="shared" si="14"/>
        <v>63.55000000000001</v>
      </c>
      <c r="G215" s="15">
        <v>74.2</v>
      </c>
      <c r="H215" s="16">
        <f t="shared" si="15"/>
        <v>68.3425</v>
      </c>
      <c r="I215" s="17"/>
    </row>
    <row r="216" spans="1:9" s="2" customFormat="1" ht="20.25" customHeight="1">
      <c r="A216" s="10">
        <v>214</v>
      </c>
      <c r="B216" s="11" t="s">
        <v>75</v>
      </c>
      <c r="C216" s="10" t="str">
        <f>"890421120421"</f>
        <v>890421120421</v>
      </c>
      <c r="D216" s="10">
        <v>71</v>
      </c>
      <c r="E216" s="10">
        <v>71</v>
      </c>
      <c r="F216" s="14">
        <f t="shared" si="14"/>
        <v>71</v>
      </c>
      <c r="G216" s="15">
        <v>79</v>
      </c>
      <c r="H216" s="16">
        <f t="shared" si="15"/>
        <v>74.60000000000001</v>
      </c>
      <c r="I216" s="17"/>
    </row>
    <row r="217" spans="1:9" s="2" customFormat="1" ht="20.25" customHeight="1">
      <c r="A217" s="10">
        <v>215</v>
      </c>
      <c r="B217" s="11" t="s">
        <v>75</v>
      </c>
      <c r="C217" s="10" t="str">
        <f>"890426120426"</f>
        <v>890426120426</v>
      </c>
      <c r="D217" s="10">
        <v>74</v>
      </c>
      <c r="E217" s="10">
        <v>66</v>
      </c>
      <c r="F217" s="14">
        <f t="shared" si="14"/>
        <v>69.60000000000001</v>
      </c>
      <c r="G217" s="15">
        <v>70.8</v>
      </c>
      <c r="H217" s="16">
        <f t="shared" si="15"/>
        <v>70.14000000000001</v>
      </c>
      <c r="I217" s="17"/>
    </row>
    <row r="218" spans="1:9" s="2" customFormat="1" ht="20.25" customHeight="1">
      <c r="A218" s="10">
        <v>216</v>
      </c>
      <c r="B218" s="11" t="s">
        <v>75</v>
      </c>
      <c r="C218" s="10" t="str">
        <f>"890423120423"</f>
        <v>890423120423</v>
      </c>
      <c r="D218" s="10">
        <v>65</v>
      </c>
      <c r="E218" s="10">
        <v>67</v>
      </c>
      <c r="F218" s="14">
        <f t="shared" si="14"/>
        <v>66.1</v>
      </c>
      <c r="G218" s="15">
        <v>71</v>
      </c>
      <c r="H218" s="16">
        <f t="shared" si="15"/>
        <v>68.30499999999999</v>
      </c>
      <c r="I218" s="17"/>
    </row>
    <row r="219" spans="1:9" s="2" customFormat="1" ht="20.25" customHeight="1">
      <c r="A219" s="10">
        <v>217</v>
      </c>
      <c r="B219" s="11" t="s">
        <v>76</v>
      </c>
      <c r="C219" s="10" t="str">
        <f>"891301231301"</f>
        <v>891301231301</v>
      </c>
      <c r="D219" s="10">
        <v>66</v>
      </c>
      <c r="E219" s="10">
        <v>72</v>
      </c>
      <c r="F219" s="14">
        <f t="shared" si="14"/>
        <v>69.3</v>
      </c>
      <c r="G219" s="15">
        <v>74.2</v>
      </c>
      <c r="H219" s="16">
        <f t="shared" si="15"/>
        <v>71.505</v>
      </c>
      <c r="I219" s="17"/>
    </row>
    <row r="220" spans="1:9" s="1" customFormat="1" ht="20.25" customHeight="1">
      <c r="A220" s="10">
        <v>218</v>
      </c>
      <c r="B220" s="11" t="s">
        <v>76</v>
      </c>
      <c r="C220" s="10" t="str">
        <f>"891318231318"</f>
        <v>891318231318</v>
      </c>
      <c r="D220" s="10">
        <v>61</v>
      </c>
      <c r="E220" s="10">
        <v>55</v>
      </c>
      <c r="F220" s="14">
        <f t="shared" si="14"/>
        <v>57.7</v>
      </c>
      <c r="G220" s="15">
        <v>73</v>
      </c>
      <c r="H220" s="16">
        <f t="shared" si="15"/>
        <v>64.58500000000001</v>
      </c>
      <c r="I220" s="17"/>
    </row>
    <row r="221" spans="1:9" s="1" customFormat="1" ht="20.25" customHeight="1">
      <c r="A221" s="10">
        <v>219</v>
      </c>
      <c r="B221" s="11" t="s">
        <v>76</v>
      </c>
      <c r="C221" s="10" t="str">
        <f>"891307231307"</f>
        <v>891307231307</v>
      </c>
      <c r="D221" s="10">
        <v>68</v>
      </c>
      <c r="E221" s="10">
        <v>48</v>
      </c>
      <c r="F221" s="14">
        <f t="shared" si="14"/>
        <v>57</v>
      </c>
      <c r="G221" s="15">
        <v>72.8</v>
      </c>
      <c r="H221" s="16">
        <f t="shared" si="15"/>
        <v>64.11</v>
      </c>
      <c r="I221" s="17"/>
    </row>
    <row r="222" spans="1:9" s="1" customFormat="1" ht="20.25" customHeight="1">
      <c r="A222" s="10">
        <v>220</v>
      </c>
      <c r="B222" s="11" t="s">
        <v>77</v>
      </c>
      <c r="C222" s="10" t="str">
        <f>"890507120507"</f>
        <v>890507120507</v>
      </c>
      <c r="D222" s="10">
        <v>68</v>
      </c>
      <c r="E222" s="10">
        <v>75</v>
      </c>
      <c r="F222" s="14">
        <f t="shared" si="14"/>
        <v>71.85</v>
      </c>
      <c r="G222" s="15">
        <v>74.2</v>
      </c>
      <c r="H222" s="16">
        <f t="shared" si="15"/>
        <v>72.9075</v>
      </c>
      <c r="I222" s="17"/>
    </row>
    <row r="223" spans="1:9" s="1" customFormat="1" ht="20.25" customHeight="1">
      <c r="A223" s="10">
        <v>221</v>
      </c>
      <c r="B223" s="11" t="s">
        <v>77</v>
      </c>
      <c r="C223" s="10" t="str">
        <f>"890602120602"</f>
        <v>890602120602</v>
      </c>
      <c r="D223" s="10">
        <v>71</v>
      </c>
      <c r="E223" s="10">
        <v>65</v>
      </c>
      <c r="F223" s="14">
        <f t="shared" si="14"/>
        <v>67.7</v>
      </c>
      <c r="G223" s="15">
        <v>75</v>
      </c>
      <c r="H223" s="16">
        <f t="shared" si="15"/>
        <v>70.98500000000001</v>
      </c>
      <c r="I223" s="17"/>
    </row>
    <row r="224" spans="1:9" s="1" customFormat="1" ht="20.25" customHeight="1">
      <c r="A224" s="10">
        <v>222</v>
      </c>
      <c r="B224" s="11" t="s">
        <v>77</v>
      </c>
      <c r="C224" s="10" t="str">
        <f>"890606120606"</f>
        <v>890606120606</v>
      </c>
      <c r="D224" s="10">
        <v>78</v>
      </c>
      <c r="E224" s="10">
        <v>57</v>
      </c>
      <c r="F224" s="14">
        <f t="shared" si="14"/>
        <v>66.45</v>
      </c>
      <c r="G224" s="15">
        <v>74.4</v>
      </c>
      <c r="H224" s="16">
        <f t="shared" si="15"/>
        <v>70.0275</v>
      </c>
      <c r="I224" s="17"/>
    </row>
    <row r="225" spans="1:9" s="1" customFormat="1" ht="20.25" customHeight="1">
      <c r="A225" s="10">
        <v>223</v>
      </c>
      <c r="B225" s="11" t="s">
        <v>78</v>
      </c>
      <c r="C225" s="10" t="str">
        <f>"890611120611"</f>
        <v>890611120611</v>
      </c>
      <c r="D225" s="10">
        <v>78</v>
      </c>
      <c r="E225" s="10">
        <v>74</v>
      </c>
      <c r="F225" s="14">
        <f t="shared" si="14"/>
        <v>75.80000000000001</v>
      </c>
      <c r="G225" s="15">
        <v>74.6</v>
      </c>
      <c r="H225" s="16">
        <f t="shared" si="15"/>
        <v>75.26000000000002</v>
      </c>
      <c r="I225" s="17"/>
    </row>
    <row r="226" spans="1:9" s="1" customFormat="1" ht="20.25" customHeight="1">
      <c r="A226" s="10">
        <v>224</v>
      </c>
      <c r="B226" s="11" t="s">
        <v>78</v>
      </c>
      <c r="C226" s="10" t="str">
        <f>"890616120616"</f>
        <v>890616120616</v>
      </c>
      <c r="D226" s="10">
        <v>68</v>
      </c>
      <c r="E226" s="10">
        <v>66</v>
      </c>
      <c r="F226" s="14">
        <f t="shared" si="14"/>
        <v>66.9</v>
      </c>
      <c r="G226" s="15">
        <v>74.8</v>
      </c>
      <c r="H226" s="16">
        <f t="shared" si="15"/>
        <v>70.45500000000001</v>
      </c>
      <c r="I226" s="17"/>
    </row>
    <row r="227" spans="1:9" s="1" customFormat="1" ht="20.25" customHeight="1">
      <c r="A227" s="10">
        <v>225</v>
      </c>
      <c r="B227" s="11" t="s">
        <v>79</v>
      </c>
      <c r="C227" s="10" t="str">
        <f>"890618120618"</f>
        <v>890618120618</v>
      </c>
      <c r="D227" s="10">
        <v>83</v>
      </c>
      <c r="E227" s="10">
        <v>60</v>
      </c>
      <c r="F227" s="14">
        <f t="shared" si="14"/>
        <v>70.35</v>
      </c>
      <c r="G227" s="15">
        <v>77.8</v>
      </c>
      <c r="H227" s="16">
        <f t="shared" si="15"/>
        <v>73.7025</v>
      </c>
      <c r="I227" s="17"/>
    </row>
    <row r="228" spans="1:9" s="1" customFormat="1" ht="20.25" customHeight="1">
      <c r="A228" s="10">
        <v>226</v>
      </c>
      <c r="B228" s="11" t="s">
        <v>79</v>
      </c>
      <c r="C228" s="10" t="str">
        <f>"890626120626"</f>
        <v>890626120626</v>
      </c>
      <c r="D228" s="10">
        <v>81</v>
      </c>
      <c r="E228" s="10">
        <v>54</v>
      </c>
      <c r="F228" s="14">
        <f t="shared" si="14"/>
        <v>66.15</v>
      </c>
      <c r="G228" s="15">
        <v>74</v>
      </c>
      <c r="H228" s="16">
        <f t="shared" si="15"/>
        <v>69.6825</v>
      </c>
      <c r="I228" s="17"/>
    </row>
    <row r="229" spans="1:9" s="1" customFormat="1" ht="20.25" customHeight="1">
      <c r="A229" s="10">
        <v>227</v>
      </c>
      <c r="B229" s="11" t="s">
        <v>79</v>
      </c>
      <c r="C229" s="10" t="str">
        <f>"890627120627"</f>
        <v>890627120627</v>
      </c>
      <c r="D229" s="10">
        <v>76</v>
      </c>
      <c r="E229" s="10">
        <v>50</v>
      </c>
      <c r="F229" s="14">
        <f t="shared" si="14"/>
        <v>61.7</v>
      </c>
      <c r="G229" s="15">
        <v>74.6</v>
      </c>
      <c r="H229" s="16">
        <f t="shared" si="15"/>
        <v>67.505</v>
      </c>
      <c r="I229" s="17"/>
    </row>
    <row r="230" spans="1:9" s="1" customFormat="1" ht="20.25" customHeight="1">
      <c r="A230" s="10">
        <v>228</v>
      </c>
      <c r="B230" s="11" t="s">
        <v>80</v>
      </c>
      <c r="C230" s="10" t="str">
        <f>"890630120630"</f>
        <v>890630120630</v>
      </c>
      <c r="D230" s="10">
        <v>64</v>
      </c>
      <c r="E230" s="10">
        <v>56</v>
      </c>
      <c r="F230" s="14">
        <f t="shared" si="14"/>
        <v>59.60000000000001</v>
      </c>
      <c r="G230" s="15">
        <v>73.2</v>
      </c>
      <c r="H230" s="16">
        <f t="shared" si="15"/>
        <v>65.72000000000001</v>
      </c>
      <c r="I230" s="17"/>
    </row>
    <row r="231" spans="1:9" s="1" customFormat="1" ht="20.25" customHeight="1">
      <c r="A231" s="10">
        <v>229</v>
      </c>
      <c r="B231" s="11" t="s">
        <v>80</v>
      </c>
      <c r="C231" s="10" t="str">
        <f>"890702120702"</f>
        <v>890702120702</v>
      </c>
      <c r="D231" s="10">
        <v>63</v>
      </c>
      <c r="E231" s="10">
        <v>52</v>
      </c>
      <c r="F231" s="14">
        <f t="shared" si="14"/>
        <v>56.95</v>
      </c>
      <c r="G231" s="15">
        <v>72.8</v>
      </c>
      <c r="H231" s="16">
        <f t="shared" si="15"/>
        <v>64.08250000000001</v>
      </c>
      <c r="I231" s="17"/>
    </row>
    <row r="232" spans="1:9" s="1" customFormat="1" ht="20.25" customHeight="1">
      <c r="A232" s="10">
        <v>230</v>
      </c>
      <c r="B232" s="11" t="s">
        <v>80</v>
      </c>
      <c r="C232" s="10" t="str">
        <f>"890629120629"</f>
        <v>890629120629</v>
      </c>
      <c r="D232" s="10">
        <v>58</v>
      </c>
      <c r="E232" s="10">
        <v>50</v>
      </c>
      <c r="F232" s="14">
        <f t="shared" si="14"/>
        <v>53.60000000000001</v>
      </c>
      <c r="G232" s="15">
        <v>71.8</v>
      </c>
      <c r="H232" s="16">
        <f t="shared" si="15"/>
        <v>61.790000000000006</v>
      </c>
      <c r="I232" s="17"/>
    </row>
    <row r="233" spans="1:9" s="1" customFormat="1" ht="20.25" customHeight="1">
      <c r="A233" s="10">
        <v>231</v>
      </c>
      <c r="B233" s="11" t="s">
        <v>81</v>
      </c>
      <c r="C233" s="10" t="str">
        <f>"890704120704"</f>
        <v>890704120704</v>
      </c>
      <c r="D233" s="10">
        <v>78</v>
      </c>
      <c r="E233" s="10">
        <v>63</v>
      </c>
      <c r="F233" s="14">
        <f t="shared" si="14"/>
        <v>69.75</v>
      </c>
      <c r="G233" s="15">
        <v>76.1</v>
      </c>
      <c r="H233" s="16">
        <f t="shared" si="15"/>
        <v>72.6075</v>
      </c>
      <c r="I233" s="17"/>
    </row>
    <row r="234" spans="1:9" s="1" customFormat="1" ht="20.25" customHeight="1">
      <c r="A234" s="10">
        <v>232</v>
      </c>
      <c r="B234" s="11" t="s">
        <v>81</v>
      </c>
      <c r="C234" s="10" t="str">
        <f>"890707120707"</f>
        <v>890707120707</v>
      </c>
      <c r="D234" s="10">
        <v>68</v>
      </c>
      <c r="E234" s="10">
        <v>62</v>
      </c>
      <c r="F234" s="14">
        <f t="shared" si="14"/>
        <v>64.7</v>
      </c>
      <c r="G234" s="15">
        <v>77</v>
      </c>
      <c r="H234" s="16">
        <f t="shared" si="15"/>
        <v>70.23500000000001</v>
      </c>
      <c r="I234" s="17"/>
    </row>
    <row r="235" spans="1:9" s="1" customFormat="1" ht="20.25" customHeight="1">
      <c r="A235" s="10">
        <v>233</v>
      </c>
      <c r="B235" s="11" t="s">
        <v>81</v>
      </c>
      <c r="C235" s="10" t="str">
        <f>"890706120706"</f>
        <v>890706120706</v>
      </c>
      <c r="D235" s="10">
        <v>59</v>
      </c>
      <c r="E235" s="10">
        <v>58</v>
      </c>
      <c r="F235" s="14">
        <f t="shared" si="14"/>
        <v>58.45</v>
      </c>
      <c r="G235" s="15">
        <v>70.1</v>
      </c>
      <c r="H235" s="16">
        <f t="shared" si="15"/>
        <v>63.692499999999995</v>
      </c>
      <c r="I235" s="17"/>
    </row>
    <row r="236" spans="1:9" s="1" customFormat="1" ht="20.25" customHeight="1">
      <c r="A236" s="10">
        <v>234</v>
      </c>
      <c r="B236" s="11" t="s">
        <v>82</v>
      </c>
      <c r="C236" s="10" t="str">
        <f>"890719120719"</f>
        <v>890719120719</v>
      </c>
      <c r="D236" s="10">
        <v>77</v>
      </c>
      <c r="E236" s="10">
        <v>61</v>
      </c>
      <c r="F236" s="14">
        <f t="shared" si="14"/>
        <v>68.2</v>
      </c>
      <c r="G236" s="15">
        <v>78.2</v>
      </c>
      <c r="H236" s="16">
        <f t="shared" si="15"/>
        <v>72.70000000000002</v>
      </c>
      <c r="I236" s="17"/>
    </row>
    <row r="237" spans="1:9" s="1" customFormat="1" ht="20.25" customHeight="1">
      <c r="A237" s="10">
        <v>235</v>
      </c>
      <c r="B237" s="11" t="s">
        <v>82</v>
      </c>
      <c r="C237" s="10" t="str">
        <f>"890721120721"</f>
        <v>890721120721</v>
      </c>
      <c r="D237" s="10">
        <v>71</v>
      </c>
      <c r="E237" s="10">
        <v>70</v>
      </c>
      <c r="F237" s="14">
        <f t="shared" si="14"/>
        <v>70.45</v>
      </c>
      <c r="G237" s="15">
        <v>73.6</v>
      </c>
      <c r="H237" s="16">
        <f t="shared" si="15"/>
        <v>71.8675</v>
      </c>
      <c r="I237" s="17"/>
    </row>
    <row r="238" spans="1:9" s="1" customFormat="1" ht="20.25" customHeight="1">
      <c r="A238" s="10">
        <v>236</v>
      </c>
      <c r="B238" s="11" t="s">
        <v>82</v>
      </c>
      <c r="C238" s="10" t="str">
        <f>"890714120714"</f>
        <v>890714120714</v>
      </c>
      <c r="D238" s="10">
        <v>77</v>
      </c>
      <c r="E238" s="10">
        <v>64</v>
      </c>
      <c r="F238" s="14">
        <f t="shared" si="14"/>
        <v>69.85</v>
      </c>
      <c r="G238" s="15">
        <v>72.4</v>
      </c>
      <c r="H238" s="16">
        <f t="shared" si="15"/>
        <v>70.9975</v>
      </c>
      <c r="I238" s="17"/>
    </row>
    <row r="239" spans="1:9" s="1" customFormat="1" ht="20.25" customHeight="1">
      <c r="A239" s="10">
        <v>237</v>
      </c>
      <c r="B239" s="11" t="s">
        <v>83</v>
      </c>
      <c r="C239" s="10" t="str">
        <f>"890809120809"</f>
        <v>890809120809</v>
      </c>
      <c r="D239" s="10">
        <v>70</v>
      </c>
      <c r="E239" s="10">
        <v>66</v>
      </c>
      <c r="F239" s="14">
        <f t="shared" si="14"/>
        <v>67.80000000000001</v>
      </c>
      <c r="G239" s="15">
        <v>78</v>
      </c>
      <c r="H239" s="16">
        <f t="shared" si="15"/>
        <v>72.39000000000001</v>
      </c>
      <c r="I239" s="17"/>
    </row>
    <row r="240" spans="1:9" s="2" customFormat="1" ht="20.25" customHeight="1">
      <c r="A240" s="10">
        <v>238</v>
      </c>
      <c r="B240" s="11" t="s">
        <v>83</v>
      </c>
      <c r="C240" s="10" t="str">
        <f>"890902120902"</f>
        <v>890902120902</v>
      </c>
      <c r="D240" s="10">
        <v>73</v>
      </c>
      <c r="E240" s="10">
        <v>66</v>
      </c>
      <c r="F240" s="14">
        <f t="shared" si="14"/>
        <v>69.15</v>
      </c>
      <c r="G240" s="15">
        <v>75.8</v>
      </c>
      <c r="H240" s="16">
        <f t="shared" si="15"/>
        <v>72.14250000000001</v>
      </c>
      <c r="I240" s="17"/>
    </row>
    <row r="241" spans="1:9" s="2" customFormat="1" ht="20.25" customHeight="1">
      <c r="A241" s="10">
        <v>239</v>
      </c>
      <c r="B241" s="11" t="s">
        <v>83</v>
      </c>
      <c r="C241" s="10" t="str">
        <f>"890820120820"</f>
        <v>890820120820</v>
      </c>
      <c r="D241" s="10">
        <v>68</v>
      </c>
      <c r="E241" s="10">
        <v>68</v>
      </c>
      <c r="F241" s="14">
        <f t="shared" si="14"/>
        <v>68</v>
      </c>
      <c r="G241" s="15">
        <v>74.4</v>
      </c>
      <c r="H241" s="16">
        <f t="shared" si="15"/>
        <v>70.88000000000001</v>
      </c>
      <c r="I241" s="17"/>
    </row>
    <row r="242" spans="1:9" s="2" customFormat="1" ht="20.25" customHeight="1">
      <c r="A242" s="10">
        <v>240</v>
      </c>
      <c r="B242" s="11" t="s">
        <v>84</v>
      </c>
      <c r="C242" s="10" t="str">
        <f>"891025121025"</f>
        <v>891025121025</v>
      </c>
      <c r="D242" s="10">
        <v>76</v>
      </c>
      <c r="E242" s="10">
        <v>77</v>
      </c>
      <c r="F242" s="14">
        <f t="shared" si="14"/>
        <v>76.55000000000001</v>
      </c>
      <c r="G242" s="15">
        <v>74.8</v>
      </c>
      <c r="H242" s="16">
        <f aca="true" t="shared" si="16" ref="H242:H255">F242*0.55+G242*0.45</f>
        <v>75.7625</v>
      </c>
      <c r="I242" s="17"/>
    </row>
    <row r="243" spans="1:9" s="2" customFormat="1" ht="20.25" customHeight="1">
      <c r="A243" s="10">
        <v>241</v>
      </c>
      <c r="B243" s="11" t="s">
        <v>84</v>
      </c>
      <c r="C243" s="10" t="str">
        <f>"891016121016"</f>
        <v>891016121016</v>
      </c>
      <c r="D243" s="10">
        <v>72</v>
      </c>
      <c r="E243" s="10">
        <v>67</v>
      </c>
      <c r="F243" s="14">
        <f t="shared" si="14"/>
        <v>69.25</v>
      </c>
      <c r="G243" s="15">
        <v>72.4</v>
      </c>
      <c r="H243" s="16">
        <f t="shared" si="16"/>
        <v>70.66750000000002</v>
      </c>
      <c r="I243" s="17"/>
    </row>
    <row r="244" spans="1:9" s="2" customFormat="1" ht="20.25" customHeight="1">
      <c r="A244" s="10">
        <v>242</v>
      </c>
      <c r="B244" s="11" t="s">
        <v>84</v>
      </c>
      <c r="C244" s="10" t="str">
        <f>"891019121019"</f>
        <v>891019121019</v>
      </c>
      <c r="D244" s="10">
        <v>79</v>
      </c>
      <c r="E244" s="10">
        <v>64</v>
      </c>
      <c r="F244" s="14">
        <f t="shared" si="14"/>
        <v>70.75</v>
      </c>
      <c r="G244" s="15">
        <v>69</v>
      </c>
      <c r="H244" s="16">
        <f t="shared" si="16"/>
        <v>69.9625</v>
      </c>
      <c r="I244" s="17"/>
    </row>
    <row r="245" spans="1:9" s="2" customFormat="1" ht="20.25" customHeight="1">
      <c r="A245" s="10">
        <v>243</v>
      </c>
      <c r="B245" s="11" t="s">
        <v>85</v>
      </c>
      <c r="C245" s="10" t="str">
        <f>"891212121212"</f>
        <v>891212121212</v>
      </c>
      <c r="D245" s="10">
        <v>81</v>
      </c>
      <c r="E245" s="10">
        <v>56</v>
      </c>
      <c r="F245" s="14">
        <f t="shared" si="14"/>
        <v>67.25</v>
      </c>
      <c r="G245" s="15">
        <v>74.6</v>
      </c>
      <c r="H245" s="16">
        <f t="shared" si="16"/>
        <v>70.5575</v>
      </c>
      <c r="I245" s="17"/>
    </row>
    <row r="246" spans="1:9" s="2" customFormat="1" ht="20.25" customHeight="1">
      <c r="A246" s="10">
        <v>244</v>
      </c>
      <c r="B246" s="11" t="s">
        <v>85</v>
      </c>
      <c r="C246" s="10" t="str">
        <f>"891208121208"</f>
        <v>891208121208</v>
      </c>
      <c r="D246" s="10">
        <v>72</v>
      </c>
      <c r="E246" s="10">
        <v>60</v>
      </c>
      <c r="F246" s="14">
        <f t="shared" si="14"/>
        <v>65.4</v>
      </c>
      <c r="G246" s="15">
        <v>75.7</v>
      </c>
      <c r="H246" s="16">
        <f t="shared" si="16"/>
        <v>70.03500000000001</v>
      </c>
      <c r="I246" s="17"/>
    </row>
    <row r="247" spans="1:9" s="2" customFormat="1" ht="20.25" customHeight="1">
      <c r="A247" s="10">
        <v>245</v>
      </c>
      <c r="B247" s="11" t="s">
        <v>85</v>
      </c>
      <c r="C247" s="10" t="str">
        <f>"891130121130"</f>
        <v>891130121130</v>
      </c>
      <c r="D247" s="10">
        <v>77</v>
      </c>
      <c r="E247" s="10">
        <v>53</v>
      </c>
      <c r="F247" s="14">
        <f t="shared" si="14"/>
        <v>63.8</v>
      </c>
      <c r="G247" s="15">
        <v>71.4</v>
      </c>
      <c r="H247" s="16">
        <f t="shared" si="16"/>
        <v>67.22</v>
      </c>
      <c r="I247" s="17"/>
    </row>
    <row r="248" spans="1:9" s="2" customFormat="1" ht="20.25" customHeight="1">
      <c r="A248" s="10">
        <v>246</v>
      </c>
      <c r="B248" s="11" t="s">
        <v>86</v>
      </c>
      <c r="C248" s="10" t="str">
        <f>"891301121301"</f>
        <v>891301121301</v>
      </c>
      <c r="D248" s="10">
        <v>75</v>
      </c>
      <c r="E248" s="10">
        <v>66</v>
      </c>
      <c r="F248" s="14">
        <f t="shared" si="14"/>
        <v>70.05000000000001</v>
      </c>
      <c r="G248" s="15">
        <v>75.8</v>
      </c>
      <c r="H248" s="16">
        <f t="shared" si="16"/>
        <v>72.63750000000002</v>
      </c>
      <c r="I248" s="17"/>
    </row>
    <row r="249" spans="1:9" s="2" customFormat="1" ht="20.25" customHeight="1">
      <c r="A249" s="10">
        <v>247</v>
      </c>
      <c r="B249" s="11" t="s">
        <v>86</v>
      </c>
      <c r="C249" s="10" t="str">
        <f>"891222121222"</f>
        <v>891222121222</v>
      </c>
      <c r="D249" s="10">
        <v>74</v>
      </c>
      <c r="E249" s="10">
        <v>57</v>
      </c>
      <c r="F249" s="14">
        <f t="shared" si="14"/>
        <v>64.65</v>
      </c>
      <c r="G249" s="15">
        <v>76.5</v>
      </c>
      <c r="H249" s="16">
        <f t="shared" si="16"/>
        <v>69.98250000000002</v>
      </c>
      <c r="I249" s="17"/>
    </row>
    <row r="250" spans="1:9" s="2" customFormat="1" ht="20.25" customHeight="1">
      <c r="A250" s="10">
        <v>248</v>
      </c>
      <c r="B250" s="11" t="s">
        <v>86</v>
      </c>
      <c r="C250" s="10" t="str">
        <f>"891304121304"</f>
        <v>891304121304</v>
      </c>
      <c r="D250" s="10">
        <v>70</v>
      </c>
      <c r="E250" s="10">
        <v>60</v>
      </c>
      <c r="F250" s="14">
        <f t="shared" si="14"/>
        <v>64.5</v>
      </c>
      <c r="G250" s="15">
        <v>74</v>
      </c>
      <c r="H250" s="16">
        <f t="shared" si="16"/>
        <v>68.775</v>
      </c>
      <c r="I250" s="17"/>
    </row>
    <row r="251" spans="1:9" s="2" customFormat="1" ht="20.25" customHeight="1">
      <c r="A251" s="10">
        <v>249</v>
      </c>
      <c r="B251" s="11" t="s">
        <v>87</v>
      </c>
      <c r="C251" s="10" t="str">
        <f>"891701231701"</f>
        <v>891701231701</v>
      </c>
      <c r="D251" s="10">
        <v>75</v>
      </c>
      <c r="E251" s="10">
        <v>79</v>
      </c>
      <c r="F251" s="14">
        <f t="shared" si="14"/>
        <v>77.2</v>
      </c>
      <c r="G251" s="15">
        <v>76.4</v>
      </c>
      <c r="H251" s="16">
        <f t="shared" si="16"/>
        <v>76.84</v>
      </c>
      <c r="I251" s="17"/>
    </row>
    <row r="252" spans="1:9" s="2" customFormat="1" ht="20.25" customHeight="1">
      <c r="A252" s="10">
        <v>250</v>
      </c>
      <c r="B252" s="11" t="s">
        <v>87</v>
      </c>
      <c r="C252" s="10" t="str">
        <f>"891708231708"</f>
        <v>891708231708</v>
      </c>
      <c r="D252" s="10">
        <v>77</v>
      </c>
      <c r="E252" s="10">
        <v>74</v>
      </c>
      <c r="F252" s="14">
        <f t="shared" si="14"/>
        <v>75.35</v>
      </c>
      <c r="G252" s="15">
        <v>76.2</v>
      </c>
      <c r="H252" s="16">
        <f t="shared" si="16"/>
        <v>75.7325</v>
      </c>
      <c r="I252" s="17"/>
    </row>
    <row r="253" spans="1:9" s="2" customFormat="1" ht="20.25" customHeight="1">
      <c r="A253" s="10">
        <v>251</v>
      </c>
      <c r="B253" s="11" t="s">
        <v>87</v>
      </c>
      <c r="C253" s="10" t="str">
        <f>"891705231705"</f>
        <v>891705231705</v>
      </c>
      <c r="D253" s="10">
        <v>69</v>
      </c>
      <c r="E253" s="10">
        <v>75</v>
      </c>
      <c r="F253" s="14">
        <f t="shared" si="14"/>
        <v>72.3</v>
      </c>
      <c r="G253" s="15">
        <v>74.8</v>
      </c>
      <c r="H253" s="16">
        <f t="shared" si="16"/>
        <v>73.425</v>
      </c>
      <c r="I253" s="17"/>
    </row>
    <row r="254" spans="1:9" s="2" customFormat="1" ht="20.25" customHeight="1">
      <c r="A254" s="10">
        <v>252</v>
      </c>
      <c r="B254" s="11" t="s">
        <v>88</v>
      </c>
      <c r="C254" s="10" t="str">
        <f>"891403121403"</f>
        <v>891403121403</v>
      </c>
      <c r="D254" s="10">
        <v>72</v>
      </c>
      <c r="E254" s="10">
        <v>72</v>
      </c>
      <c r="F254" s="14">
        <f t="shared" si="14"/>
        <v>72</v>
      </c>
      <c r="G254" s="15">
        <v>76.8</v>
      </c>
      <c r="H254" s="16">
        <f t="shared" si="16"/>
        <v>74.16</v>
      </c>
      <c r="I254" s="17"/>
    </row>
    <row r="255" spans="1:9" s="1" customFormat="1" ht="20.25" customHeight="1">
      <c r="A255" s="10">
        <v>253</v>
      </c>
      <c r="B255" s="11" t="s">
        <v>88</v>
      </c>
      <c r="C255" s="10" t="str">
        <f>"891330121330"</f>
        <v>891330121330</v>
      </c>
      <c r="D255" s="10">
        <v>61</v>
      </c>
      <c r="E255" s="10">
        <v>77</v>
      </c>
      <c r="F255" s="14">
        <f t="shared" si="14"/>
        <v>69.8</v>
      </c>
      <c r="G255" s="15">
        <v>75.6</v>
      </c>
      <c r="H255" s="16">
        <f t="shared" si="16"/>
        <v>72.41</v>
      </c>
      <c r="I255" s="17"/>
    </row>
    <row r="256" spans="1:9" s="1" customFormat="1" ht="20.25" customHeight="1">
      <c r="A256" s="10">
        <v>254</v>
      </c>
      <c r="B256" s="11" t="s">
        <v>88</v>
      </c>
      <c r="C256" s="10" t="str">
        <f>"891324121324"</f>
        <v>891324121324</v>
      </c>
      <c r="D256" s="10">
        <v>80</v>
      </c>
      <c r="E256" s="10">
        <v>59</v>
      </c>
      <c r="F256" s="14">
        <f t="shared" si="14"/>
        <v>68.45</v>
      </c>
      <c r="G256" s="11" t="s">
        <v>12</v>
      </c>
      <c r="H256" s="16" t="s">
        <v>13</v>
      </c>
      <c r="I256" s="17"/>
    </row>
    <row r="257" spans="1:9" s="1" customFormat="1" ht="20.25" customHeight="1">
      <c r="A257" s="10">
        <v>255</v>
      </c>
      <c r="B257" s="11" t="s">
        <v>89</v>
      </c>
      <c r="C257" s="10" t="str">
        <f>"891513121513"</f>
        <v>891513121513</v>
      </c>
      <c r="D257" s="10">
        <v>81</v>
      </c>
      <c r="E257" s="10">
        <v>70</v>
      </c>
      <c r="F257" s="14">
        <f t="shared" si="14"/>
        <v>74.95</v>
      </c>
      <c r="G257" s="15">
        <v>76.6</v>
      </c>
      <c r="H257" s="16">
        <f aca="true" t="shared" si="17" ref="H257:H288">F257*0.55+G257*0.45</f>
        <v>75.6925</v>
      </c>
      <c r="I257" s="17"/>
    </row>
    <row r="258" spans="1:9" s="1" customFormat="1" ht="20.25" customHeight="1">
      <c r="A258" s="10">
        <v>256</v>
      </c>
      <c r="B258" s="11" t="s">
        <v>89</v>
      </c>
      <c r="C258" s="10" t="str">
        <f>"891908121908"</f>
        <v>891908121908</v>
      </c>
      <c r="D258" s="10">
        <v>77</v>
      </c>
      <c r="E258" s="10">
        <v>78</v>
      </c>
      <c r="F258" s="14">
        <f t="shared" si="14"/>
        <v>77.55000000000001</v>
      </c>
      <c r="G258" s="15">
        <v>72.8</v>
      </c>
      <c r="H258" s="16">
        <f t="shared" si="17"/>
        <v>75.41250000000001</v>
      </c>
      <c r="I258" s="17"/>
    </row>
    <row r="259" spans="1:9" s="1" customFormat="1" ht="20.25" customHeight="1">
      <c r="A259" s="10">
        <v>257</v>
      </c>
      <c r="B259" s="11" t="s">
        <v>89</v>
      </c>
      <c r="C259" s="10" t="str">
        <f>"891613121613"</f>
        <v>891613121613</v>
      </c>
      <c r="D259" s="10">
        <v>80</v>
      </c>
      <c r="E259" s="10">
        <v>68</v>
      </c>
      <c r="F259" s="14">
        <f aca="true" t="shared" si="18" ref="F259:F322">D259*0.45+E259*0.55</f>
        <v>73.4</v>
      </c>
      <c r="G259" s="15">
        <v>75.3</v>
      </c>
      <c r="H259" s="16">
        <f t="shared" si="17"/>
        <v>74.255</v>
      </c>
      <c r="I259" s="17"/>
    </row>
    <row r="260" spans="1:9" s="1" customFormat="1" ht="20.25" customHeight="1">
      <c r="A260" s="10">
        <v>258</v>
      </c>
      <c r="B260" s="11" t="s">
        <v>90</v>
      </c>
      <c r="C260" s="10" t="str">
        <f>"890212230212"</f>
        <v>890212230212</v>
      </c>
      <c r="D260" s="10">
        <v>75</v>
      </c>
      <c r="E260" s="10">
        <v>69</v>
      </c>
      <c r="F260" s="14">
        <f t="shared" si="18"/>
        <v>71.7</v>
      </c>
      <c r="G260" s="15">
        <v>73.8</v>
      </c>
      <c r="H260" s="16">
        <f t="shared" si="17"/>
        <v>72.64500000000001</v>
      </c>
      <c r="I260" s="17"/>
    </row>
    <row r="261" spans="1:9" s="1" customFormat="1" ht="20.25" customHeight="1">
      <c r="A261" s="10">
        <v>259</v>
      </c>
      <c r="B261" s="11" t="s">
        <v>90</v>
      </c>
      <c r="C261" s="10" t="str">
        <f>"890209230209"</f>
        <v>890209230209</v>
      </c>
      <c r="D261" s="10">
        <v>71</v>
      </c>
      <c r="E261" s="10">
        <v>66</v>
      </c>
      <c r="F261" s="14">
        <f t="shared" si="18"/>
        <v>68.25</v>
      </c>
      <c r="G261" s="15">
        <v>73.3</v>
      </c>
      <c r="H261" s="16">
        <f t="shared" si="17"/>
        <v>70.52250000000001</v>
      </c>
      <c r="I261" s="17"/>
    </row>
    <row r="262" spans="1:9" s="1" customFormat="1" ht="20.25" customHeight="1">
      <c r="A262" s="10">
        <v>260</v>
      </c>
      <c r="B262" s="11" t="s">
        <v>90</v>
      </c>
      <c r="C262" s="10" t="str">
        <f>"890203230203"</f>
        <v>890203230203</v>
      </c>
      <c r="D262" s="10">
        <v>70</v>
      </c>
      <c r="E262" s="10">
        <v>65</v>
      </c>
      <c r="F262" s="14">
        <f t="shared" si="18"/>
        <v>67.25</v>
      </c>
      <c r="G262" s="15">
        <v>72</v>
      </c>
      <c r="H262" s="16">
        <f t="shared" si="17"/>
        <v>69.3875</v>
      </c>
      <c r="I262" s="17"/>
    </row>
    <row r="263" spans="1:9" s="1" customFormat="1" ht="20.25" customHeight="1">
      <c r="A263" s="10">
        <v>261</v>
      </c>
      <c r="B263" s="11" t="s">
        <v>90</v>
      </c>
      <c r="C263" s="10" t="str">
        <f>"890221230221"</f>
        <v>890221230221</v>
      </c>
      <c r="D263" s="10">
        <v>75</v>
      </c>
      <c r="E263" s="10">
        <v>60</v>
      </c>
      <c r="F263" s="14">
        <f t="shared" si="18"/>
        <v>66.75</v>
      </c>
      <c r="G263" s="15">
        <v>72.2</v>
      </c>
      <c r="H263" s="16">
        <f t="shared" si="17"/>
        <v>69.20250000000001</v>
      </c>
      <c r="I263" s="17"/>
    </row>
    <row r="264" spans="1:9" s="1" customFormat="1" ht="20.25" customHeight="1">
      <c r="A264" s="10">
        <v>262</v>
      </c>
      <c r="B264" s="11" t="s">
        <v>90</v>
      </c>
      <c r="C264" s="10" t="str">
        <f>"890207230207"</f>
        <v>890207230207</v>
      </c>
      <c r="D264" s="10">
        <v>63</v>
      </c>
      <c r="E264" s="10">
        <v>69</v>
      </c>
      <c r="F264" s="14">
        <f t="shared" si="18"/>
        <v>66.30000000000001</v>
      </c>
      <c r="G264" s="15">
        <v>72.4</v>
      </c>
      <c r="H264" s="16">
        <f t="shared" si="17"/>
        <v>69.04500000000002</v>
      </c>
      <c r="I264" s="17"/>
    </row>
    <row r="265" spans="1:9" s="1" customFormat="1" ht="20.25" customHeight="1">
      <c r="A265" s="10">
        <v>263</v>
      </c>
      <c r="B265" s="11" t="s">
        <v>90</v>
      </c>
      <c r="C265" s="10" t="str">
        <f>"890214230214"</f>
        <v>890214230214</v>
      </c>
      <c r="D265" s="10">
        <v>65</v>
      </c>
      <c r="E265" s="10">
        <v>62</v>
      </c>
      <c r="F265" s="14">
        <f t="shared" si="18"/>
        <v>63.35</v>
      </c>
      <c r="G265" s="15">
        <v>74.9</v>
      </c>
      <c r="H265" s="16">
        <f t="shared" si="17"/>
        <v>68.54750000000001</v>
      </c>
      <c r="I265" s="17"/>
    </row>
    <row r="266" spans="1:9" s="1" customFormat="1" ht="20.25" customHeight="1">
      <c r="A266" s="10">
        <v>264</v>
      </c>
      <c r="B266" s="11" t="s">
        <v>90</v>
      </c>
      <c r="C266" s="10" t="str">
        <f>"890211230211"</f>
        <v>890211230211</v>
      </c>
      <c r="D266" s="10">
        <v>71</v>
      </c>
      <c r="E266" s="10">
        <v>58</v>
      </c>
      <c r="F266" s="14">
        <f t="shared" si="18"/>
        <v>63.85</v>
      </c>
      <c r="G266" s="15">
        <v>72.5</v>
      </c>
      <c r="H266" s="16">
        <f t="shared" si="17"/>
        <v>67.7425</v>
      </c>
      <c r="I266" s="17"/>
    </row>
    <row r="267" spans="1:9" s="1" customFormat="1" ht="20.25" customHeight="1">
      <c r="A267" s="10">
        <v>265</v>
      </c>
      <c r="B267" s="11" t="s">
        <v>90</v>
      </c>
      <c r="C267" s="10" t="str">
        <f>"890206230206"</f>
        <v>890206230206</v>
      </c>
      <c r="D267" s="10">
        <v>67</v>
      </c>
      <c r="E267" s="10">
        <v>65</v>
      </c>
      <c r="F267" s="14">
        <f t="shared" si="18"/>
        <v>65.9</v>
      </c>
      <c r="G267" s="15">
        <v>69</v>
      </c>
      <c r="H267" s="16">
        <f t="shared" si="17"/>
        <v>67.295</v>
      </c>
      <c r="I267" s="17"/>
    </row>
    <row r="268" spans="1:9" s="1" customFormat="1" ht="20.25" customHeight="1">
      <c r="A268" s="10">
        <v>266</v>
      </c>
      <c r="B268" s="11" t="s">
        <v>90</v>
      </c>
      <c r="C268" s="10" t="str">
        <f>"890208230208"</f>
        <v>890208230208</v>
      </c>
      <c r="D268" s="10">
        <v>61</v>
      </c>
      <c r="E268" s="10">
        <v>60</v>
      </c>
      <c r="F268" s="14">
        <f t="shared" si="18"/>
        <v>60.45</v>
      </c>
      <c r="G268" s="15">
        <v>75.4</v>
      </c>
      <c r="H268" s="16">
        <f t="shared" si="17"/>
        <v>67.17750000000001</v>
      </c>
      <c r="I268" s="17"/>
    </row>
    <row r="269" spans="1:9" s="1" customFormat="1" ht="20.25" customHeight="1">
      <c r="A269" s="10">
        <v>267</v>
      </c>
      <c r="B269" s="11" t="s">
        <v>90</v>
      </c>
      <c r="C269" s="10" t="str">
        <f>"890204230204"</f>
        <v>890204230204</v>
      </c>
      <c r="D269" s="10">
        <v>69</v>
      </c>
      <c r="E269" s="10">
        <v>52</v>
      </c>
      <c r="F269" s="14">
        <f t="shared" si="18"/>
        <v>59.650000000000006</v>
      </c>
      <c r="G269" s="15">
        <v>74.4</v>
      </c>
      <c r="H269" s="16">
        <f t="shared" si="17"/>
        <v>66.28750000000001</v>
      </c>
      <c r="I269" s="17"/>
    </row>
    <row r="270" spans="1:9" s="1" customFormat="1" ht="20.25" customHeight="1">
      <c r="A270" s="10">
        <v>268</v>
      </c>
      <c r="B270" s="11" t="s">
        <v>90</v>
      </c>
      <c r="C270" s="10" t="str">
        <f>"890205230205"</f>
        <v>890205230205</v>
      </c>
      <c r="D270" s="10">
        <v>67</v>
      </c>
      <c r="E270" s="10">
        <v>60</v>
      </c>
      <c r="F270" s="14">
        <f t="shared" si="18"/>
        <v>63.150000000000006</v>
      </c>
      <c r="G270" s="15">
        <v>69</v>
      </c>
      <c r="H270" s="16">
        <f t="shared" si="17"/>
        <v>65.78250000000001</v>
      </c>
      <c r="I270" s="17"/>
    </row>
    <row r="271" spans="1:9" s="1" customFormat="1" ht="20.25" customHeight="1">
      <c r="A271" s="10">
        <v>269</v>
      </c>
      <c r="B271" s="11" t="s">
        <v>90</v>
      </c>
      <c r="C271" s="10" t="str">
        <f>"890223230223"</f>
        <v>890223230223</v>
      </c>
      <c r="D271" s="10">
        <v>57</v>
      </c>
      <c r="E271" s="10">
        <v>61</v>
      </c>
      <c r="F271" s="14">
        <f t="shared" si="18"/>
        <v>59.2</v>
      </c>
      <c r="G271" s="15">
        <v>69.4</v>
      </c>
      <c r="H271" s="16">
        <f t="shared" si="17"/>
        <v>63.790000000000006</v>
      </c>
      <c r="I271" s="17"/>
    </row>
    <row r="272" spans="1:9" s="1" customFormat="1" ht="20.25" customHeight="1">
      <c r="A272" s="10">
        <v>270</v>
      </c>
      <c r="B272" s="11" t="s">
        <v>91</v>
      </c>
      <c r="C272" s="10" t="str">
        <f>"890307230307"</f>
        <v>890307230307</v>
      </c>
      <c r="D272" s="10">
        <v>68</v>
      </c>
      <c r="E272" s="10">
        <v>51</v>
      </c>
      <c r="F272" s="14">
        <f t="shared" si="18"/>
        <v>58.650000000000006</v>
      </c>
      <c r="G272" s="15">
        <v>74.2</v>
      </c>
      <c r="H272" s="16">
        <f t="shared" si="17"/>
        <v>65.64750000000001</v>
      </c>
      <c r="I272" s="17"/>
    </row>
    <row r="273" spans="1:9" s="1" customFormat="1" ht="20.25" customHeight="1">
      <c r="A273" s="10">
        <v>271</v>
      </c>
      <c r="B273" s="11" t="s">
        <v>91</v>
      </c>
      <c r="C273" s="10" t="str">
        <f>"890227230227"</f>
        <v>890227230227</v>
      </c>
      <c r="D273" s="10">
        <v>64</v>
      </c>
      <c r="E273" s="10">
        <v>46</v>
      </c>
      <c r="F273" s="14">
        <f t="shared" si="18"/>
        <v>54.1</v>
      </c>
      <c r="G273" s="15">
        <v>72</v>
      </c>
      <c r="H273" s="16">
        <f t="shared" si="17"/>
        <v>62.155</v>
      </c>
      <c r="I273" s="17"/>
    </row>
    <row r="274" spans="1:9" s="1" customFormat="1" ht="20.25" customHeight="1">
      <c r="A274" s="10">
        <v>272</v>
      </c>
      <c r="B274" s="11" t="s">
        <v>91</v>
      </c>
      <c r="C274" s="10" t="str">
        <f>"890304230304"</f>
        <v>890304230304</v>
      </c>
      <c r="D274" s="10">
        <v>61</v>
      </c>
      <c r="E274" s="10">
        <v>45</v>
      </c>
      <c r="F274" s="14">
        <f t="shared" si="18"/>
        <v>52.2</v>
      </c>
      <c r="G274" s="15">
        <v>67.3</v>
      </c>
      <c r="H274" s="16">
        <f t="shared" si="17"/>
        <v>58.995000000000005</v>
      </c>
      <c r="I274" s="17"/>
    </row>
    <row r="275" spans="1:9" s="2" customFormat="1" ht="20.25" customHeight="1">
      <c r="A275" s="10">
        <v>273</v>
      </c>
      <c r="B275" s="11" t="s">
        <v>92</v>
      </c>
      <c r="C275" s="10" t="str">
        <f>"890312230312"</f>
        <v>890312230312</v>
      </c>
      <c r="D275" s="10">
        <v>57</v>
      </c>
      <c r="E275" s="10">
        <v>50</v>
      </c>
      <c r="F275" s="14">
        <f t="shared" si="18"/>
        <v>53.150000000000006</v>
      </c>
      <c r="G275" s="15">
        <v>74.8</v>
      </c>
      <c r="H275" s="16">
        <f t="shared" si="17"/>
        <v>62.8925</v>
      </c>
      <c r="I275" s="17"/>
    </row>
    <row r="276" spans="1:9" s="2" customFormat="1" ht="20.25" customHeight="1">
      <c r="A276" s="10">
        <v>274</v>
      </c>
      <c r="B276" s="11" t="s">
        <v>93</v>
      </c>
      <c r="C276" s="10" t="str">
        <f>"892311232311"</f>
        <v>892311232311</v>
      </c>
      <c r="D276" s="10">
        <v>86</v>
      </c>
      <c r="E276" s="10">
        <v>70</v>
      </c>
      <c r="F276" s="14">
        <f t="shared" si="18"/>
        <v>77.2</v>
      </c>
      <c r="G276" s="15">
        <v>76.6</v>
      </c>
      <c r="H276" s="16">
        <f t="shared" si="17"/>
        <v>76.93</v>
      </c>
      <c r="I276" s="17"/>
    </row>
    <row r="277" spans="1:9" s="2" customFormat="1" ht="20.25" customHeight="1">
      <c r="A277" s="10">
        <v>275</v>
      </c>
      <c r="B277" s="11" t="s">
        <v>93</v>
      </c>
      <c r="C277" s="10" t="str">
        <f>"892008232008"</f>
        <v>892008232008</v>
      </c>
      <c r="D277" s="10">
        <v>73</v>
      </c>
      <c r="E277" s="10">
        <v>70</v>
      </c>
      <c r="F277" s="14">
        <f t="shared" si="18"/>
        <v>71.35</v>
      </c>
      <c r="G277" s="15">
        <v>78.8</v>
      </c>
      <c r="H277" s="16">
        <f t="shared" si="17"/>
        <v>74.7025</v>
      </c>
      <c r="I277" s="17"/>
    </row>
    <row r="278" spans="1:9" s="2" customFormat="1" ht="20.25" customHeight="1">
      <c r="A278" s="10">
        <v>276</v>
      </c>
      <c r="B278" s="11" t="s">
        <v>93</v>
      </c>
      <c r="C278" s="10" t="str">
        <f>"892021232021"</f>
        <v>892021232021</v>
      </c>
      <c r="D278" s="10">
        <v>73</v>
      </c>
      <c r="E278" s="10">
        <v>63</v>
      </c>
      <c r="F278" s="14">
        <f t="shared" si="18"/>
        <v>67.5</v>
      </c>
      <c r="G278" s="15">
        <v>77.6</v>
      </c>
      <c r="H278" s="16">
        <f t="shared" si="17"/>
        <v>72.045</v>
      </c>
      <c r="I278" s="17"/>
    </row>
    <row r="279" spans="1:9" s="2" customFormat="1" ht="20.25" customHeight="1">
      <c r="A279" s="10">
        <v>277</v>
      </c>
      <c r="B279" s="11" t="s">
        <v>93</v>
      </c>
      <c r="C279" s="10" t="str">
        <f>"892023232023"</f>
        <v>892023232023</v>
      </c>
      <c r="D279" s="10">
        <v>64</v>
      </c>
      <c r="E279" s="10">
        <v>70</v>
      </c>
      <c r="F279" s="14">
        <f t="shared" si="18"/>
        <v>67.3</v>
      </c>
      <c r="G279" s="15">
        <v>76.3</v>
      </c>
      <c r="H279" s="16">
        <f t="shared" si="17"/>
        <v>71.35</v>
      </c>
      <c r="I279" s="17"/>
    </row>
    <row r="280" spans="1:9" s="2" customFormat="1" ht="20.25" customHeight="1">
      <c r="A280" s="10">
        <v>278</v>
      </c>
      <c r="B280" s="11" t="s">
        <v>93</v>
      </c>
      <c r="C280" s="10" t="str">
        <f>"892222232222"</f>
        <v>892222232222</v>
      </c>
      <c r="D280" s="10">
        <v>68</v>
      </c>
      <c r="E280" s="10">
        <v>66</v>
      </c>
      <c r="F280" s="14">
        <f t="shared" si="18"/>
        <v>66.9</v>
      </c>
      <c r="G280" s="15">
        <v>74.6</v>
      </c>
      <c r="H280" s="16">
        <f t="shared" si="17"/>
        <v>70.36500000000001</v>
      </c>
      <c r="I280" s="17"/>
    </row>
    <row r="281" spans="1:9" s="2" customFormat="1" ht="20.25" customHeight="1">
      <c r="A281" s="10">
        <v>279</v>
      </c>
      <c r="B281" s="11" t="s">
        <v>93</v>
      </c>
      <c r="C281" s="10" t="str">
        <f>"892302232302"</f>
        <v>892302232302</v>
      </c>
      <c r="D281" s="10">
        <v>70</v>
      </c>
      <c r="E281" s="10">
        <v>68</v>
      </c>
      <c r="F281" s="14">
        <f t="shared" si="18"/>
        <v>68.9</v>
      </c>
      <c r="G281" s="15">
        <v>72.1</v>
      </c>
      <c r="H281" s="16">
        <f t="shared" si="17"/>
        <v>70.34</v>
      </c>
      <c r="I281" s="17"/>
    </row>
    <row r="282" spans="1:9" s="2" customFormat="1" ht="20.25" customHeight="1">
      <c r="A282" s="10">
        <v>280</v>
      </c>
      <c r="B282" s="11" t="s">
        <v>93</v>
      </c>
      <c r="C282" s="10" t="str">
        <f>"892218232218"</f>
        <v>892218232218</v>
      </c>
      <c r="D282" s="10">
        <v>74</v>
      </c>
      <c r="E282" s="10">
        <v>55</v>
      </c>
      <c r="F282" s="14">
        <f t="shared" si="18"/>
        <v>63.55000000000001</v>
      </c>
      <c r="G282" s="15">
        <v>78.1</v>
      </c>
      <c r="H282" s="16">
        <f t="shared" si="17"/>
        <v>70.0975</v>
      </c>
      <c r="I282" s="17"/>
    </row>
    <row r="283" spans="1:9" s="2" customFormat="1" ht="20.25" customHeight="1">
      <c r="A283" s="10">
        <v>281</v>
      </c>
      <c r="B283" s="11" t="s">
        <v>93</v>
      </c>
      <c r="C283" s="10" t="str">
        <f>"892015232015"</f>
        <v>892015232015</v>
      </c>
      <c r="D283" s="10">
        <v>69</v>
      </c>
      <c r="E283" s="10">
        <v>62</v>
      </c>
      <c r="F283" s="14">
        <f t="shared" si="18"/>
        <v>65.15</v>
      </c>
      <c r="G283" s="15">
        <v>73.8</v>
      </c>
      <c r="H283" s="16">
        <f t="shared" si="17"/>
        <v>69.0425</v>
      </c>
      <c r="I283" s="17"/>
    </row>
    <row r="284" spans="1:9" s="2" customFormat="1" ht="20.25" customHeight="1">
      <c r="A284" s="10">
        <v>282</v>
      </c>
      <c r="B284" s="11" t="s">
        <v>93</v>
      </c>
      <c r="C284" s="10" t="str">
        <f>"892124232124"</f>
        <v>892124232124</v>
      </c>
      <c r="D284" s="10">
        <v>69</v>
      </c>
      <c r="E284" s="10">
        <v>58</v>
      </c>
      <c r="F284" s="14">
        <f t="shared" si="18"/>
        <v>62.95</v>
      </c>
      <c r="G284" s="15">
        <v>75.4</v>
      </c>
      <c r="H284" s="16">
        <f t="shared" si="17"/>
        <v>68.55250000000001</v>
      </c>
      <c r="I284" s="17"/>
    </row>
    <row r="285" spans="1:9" s="2" customFormat="1" ht="20.25" customHeight="1">
      <c r="A285" s="10">
        <v>283</v>
      </c>
      <c r="B285" s="11" t="s">
        <v>93</v>
      </c>
      <c r="C285" s="10" t="str">
        <f>"892220232220"</f>
        <v>892220232220</v>
      </c>
      <c r="D285" s="10">
        <v>63</v>
      </c>
      <c r="E285" s="10">
        <v>74</v>
      </c>
      <c r="F285" s="14">
        <f t="shared" si="18"/>
        <v>69.05000000000001</v>
      </c>
      <c r="G285" s="15">
        <v>67.8</v>
      </c>
      <c r="H285" s="16">
        <f t="shared" si="17"/>
        <v>68.48750000000001</v>
      </c>
      <c r="I285" s="17"/>
    </row>
    <row r="286" spans="1:9" s="2" customFormat="1" ht="20.25" customHeight="1">
      <c r="A286" s="10">
        <v>284</v>
      </c>
      <c r="B286" s="11" t="s">
        <v>93</v>
      </c>
      <c r="C286" s="10" t="str">
        <f>"892216232216"</f>
        <v>892216232216</v>
      </c>
      <c r="D286" s="10">
        <v>69</v>
      </c>
      <c r="E286" s="10">
        <v>57</v>
      </c>
      <c r="F286" s="14">
        <f t="shared" si="18"/>
        <v>62.400000000000006</v>
      </c>
      <c r="G286" s="15">
        <v>73.9</v>
      </c>
      <c r="H286" s="16">
        <f t="shared" si="17"/>
        <v>67.57500000000002</v>
      </c>
      <c r="I286" s="17"/>
    </row>
    <row r="287" spans="1:9" s="2" customFormat="1" ht="20.25" customHeight="1">
      <c r="A287" s="10">
        <v>285</v>
      </c>
      <c r="B287" s="11" t="s">
        <v>93</v>
      </c>
      <c r="C287" s="10" t="str">
        <f>"892327232327"</f>
        <v>892327232327</v>
      </c>
      <c r="D287" s="10">
        <v>62</v>
      </c>
      <c r="E287" s="10">
        <v>64</v>
      </c>
      <c r="F287" s="14">
        <f t="shared" si="18"/>
        <v>63.10000000000001</v>
      </c>
      <c r="G287" s="15">
        <v>70.9</v>
      </c>
      <c r="H287" s="16">
        <f t="shared" si="17"/>
        <v>66.61000000000001</v>
      </c>
      <c r="I287" s="17"/>
    </row>
    <row r="288" spans="1:9" s="2" customFormat="1" ht="20.25" customHeight="1">
      <c r="A288" s="10">
        <v>286</v>
      </c>
      <c r="B288" s="11" t="s">
        <v>93</v>
      </c>
      <c r="C288" s="10" t="str">
        <f>"892103232103"</f>
        <v>892103232103</v>
      </c>
      <c r="D288" s="10">
        <v>63</v>
      </c>
      <c r="E288" s="10">
        <v>62</v>
      </c>
      <c r="F288" s="14">
        <f t="shared" si="18"/>
        <v>62.45</v>
      </c>
      <c r="G288" s="15">
        <v>69.6</v>
      </c>
      <c r="H288" s="16">
        <f t="shared" si="17"/>
        <v>65.6675</v>
      </c>
      <c r="I288" s="17"/>
    </row>
    <row r="289" spans="1:9" s="2" customFormat="1" ht="20.25" customHeight="1">
      <c r="A289" s="10">
        <v>287</v>
      </c>
      <c r="B289" s="11" t="s">
        <v>93</v>
      </c>
      <c r="C289" s="10" t="str">
        <f>"892219232219"</f>
        <v>892219232219</v>
      </c>
      <c r="D289" s="10">
        <v>67</v>
      </c>
      <c r="E289" s="10">
        <v>60</v>
      </c>
      <c r="F289" s="14">
        <f t="shared" si="18"/>
        <v>63.150000000000006</v>
      </c>
      <c r="G289" s="15">
        <v>67.3</v>
      </c>
      <c r="H289" s="16">
        <f aca="true" t="shared" si="19" ref="H289:H305">F289*0.55+G289*0.45</f>
        <v>65.01750000000001</v>
      </c>
      <c r="I289" s="17"/>
    </row>
    <row r="290" spans="1:9" s="2" customFormat="1" ht="20.25" customHeight="1">
      <c r="A290" s="10">
        <v>288</v>
      </c>
      <c r="B290" s="11" t="s">
        <v>93</v>
      </c>
      <c r="C290" s="10" t="str">
        <f>"892308232308"</f>
        <v>892308232308</v>
      </c>
      <c r="D290" s="10">
        <v>67</v>
      </c>
      <c r="E290" s="10">
        <v>59</v>
      </c>
      <c r="F290" s="14">
        <f t="shared" si="18"/>
        <v>62.60000000000001</v>
      </c>
      <c r="G290" s="15">
        <v>66</v>
      </c>
      <c r="H290" s="16">
        <f t="shared" si="19"/>
        <v>64.13000000000001</v>
      </c>
      <c r="I290" s="17"/>
    </row>
    <row r="291" spans="1:9" s="2" customFormat="1" ht="20.25" customHeight="1">
      <c r="A291" s="10">
        <v>289</v>
      </c>
      <c r="B291" s="11" t="s">
        <v>94</v>
      </c>
      <c r="C291" s="10" t="str">
        <f>"892101122101"</f>
        <v>892101122101</v>
      </c>
      <c r="D291" s="10">
        <v>82</v>
      </c>
      <c r="E291" s="10">
        <v>65</v>
      </c>
      <c r="F291" s="14">
        <f t="shared" si="18"/>
        <v>72.65</v>
      </c>
      <c r="G291" s="15">
        <v>76.2</v>
      </c>
      <c r="H291" s="16">
        <f t="shared" si="19"/>
        <v>74.2475</v>
      </c>
      <c r="I291" s="17"/>
    </row>
    <row r="292" spans="1:9" s="2" customFormat="1" ht="20.25" customHeight="1">
      <c r="A292" s="10">
        <v>290</v>
      </c>
      <c r="B292" s="11" t="s">
        <v>94</v>
      </c>
      <c r="C292" s="10" t="str">
        <f>"892106122106"</f>
        <v>892106122106</v>
      </c>
      <c r="D292" s="10">
        <v>68</v>
      </c>
      <c r="E292" s="10">
        <v>76</v>
      </c>
      <c r="F292" s="14">
        <f t="shared" si="18"/>
        <v>72.4</v>
      </c>
      <c r="G292" s="15">
        <v>74.2</v>
      </c>
      <c r="H292" s="16">
        <f t="shared" si="19"/>
        <v>73.21000000000001</v>
      </c>
      <c r="I292" s="17"/>
    </row>
    <row r="293" spans="1:9" s="2" customFormat="1" ht="20.25" customHeight="1">
      <c r="A293" s="10">
        <v>291</v>
      </c>
      <c r="B293" s="11" t="s">
        <v>94</v>
      </c>
      <c r="C293" s="10" t="str">
        <f>"892021122021"</f>
        <v>892021122021</v>
      </c>
      <c r="D293" s="10">
        <v>80</v>
      </c>
      <c r="E293" s="10">
        <v>64</v>
      </c>
      <c r="F293" s="14">
        <f t="shared" si="18"/>
        <v>71.2</v>
      </c>
      <c r="G293" s="15">
        <v>75.5</v>
      </c>
      <c r="H293" s="16">
        <f t="shared" si="19"/>
        <v>73.135</v>
      </c>
      <c r="I293" s="17"/>
    </row>
    <row r="294" spans="1:9" s="2" customFormat="1" ht="20.25" customHeight="1">
      <c r="A294" s="10">
        <v>292</v>
      </c>
      <c r="B294" s="11" t="s">
        <v>95</v>
      </c>
      <c r="C294" s="10" t="str">
        <f>"890718230718"</f>
        <v>890718230718</v>
      </c>
      <c r="D294" s="10">
        <v>80</v>
      </c>
      <c r="E294" s="10">
        <v>92</v>
      </c>
      <c r="F294" s="14">
        <f t="shared" si="18"/>
        <v>86.6</v>
      </c>
      <c r="G294" s="15">
        <v>77</v>
      </c>
      <c r="H294" s="16">
        <f t="shared" si="19"/>
        <v>82.28</v>
      </c>
      <c r="I294" s="17"/>
    </row>
    <row r="295" spans="1:9" s="2" customFormat="1" ht="20.25" customHeight="1">
      <c r="A295" s="10">
        <v>293</v>
      </c>
      <c r="B295" s="11" t="s">
        <v>95</v>
      </c>
      <c r="C295" s="10" t="str">
        <f>"890815230815"</f>
        <v>890815230815</v>
      </c>
      <c r="D295" s="10">
        <v>71</v>
      </c>
      <c r="E295" s="10">
        <v>92</v>
      </c>
      <c r="F295" s="14">
        <f t="shared" si="18"/>
        <v>82.55</v>
      </c>
      <c r="G295" s="15">
        <v>75.8</v>
      </c>
      <c r="H295" s="16">
        <f t="shared" si="19"/>
        <v>79.5125</v>
      </c>
      <c r="I295" s="17"/>
    </row>
    <row r="296" spans="1:9" s="1" customFormat="1" ht="20.25" customHeight="1">
      <c r="A296" s="10">
        <v>294</v>
      </c>
      <c r="B296" s="11" t="s">
        <v>95</v>
      </c>
      <c r="C296" s="10" t="str">
        <f>"890806230806"</f>
        <v>890806230806</v>
      </c>
      <c r="D296" s="10">
        <v>79</v>
      </c>
      <c r="E296" s="10">
        <v>84</v>
      </c>
      <c r="F296" s="14">
        <f t="shared" si="18"/>
        <v>81.75</v>
      </c>
      <c r="G296" s="15">
        <v>76.6</v>
      </c>
      <c r="H296" s="16">
        <f t="shared" si="19"/>
        <v>79.4325</v>
      </c>
      <c r="I296" s="17"/>
    </row>
    <row r="297" spans="1:9" s="1" customFormat="1" ht="20.25" customHeight="1">
      <c r="A297" s="10">
        <v>295</v>
      </c>
      <c r="B297" s="11" t="s">
        <v>95</v>
      </c>
      <c r="C297" s="10" t="str">
        <f>"890809230809"</f>
        <v>890809230809</v>
      </c>
      <c r="D297" s="10">
        <v>71</v>
      </c>
      <c r="E297" s="10">
        <v>94</v>
      </c>
      <c r="F297" s="14">
        <f t="shared" si="18"/>
        <v>83.65</v>
      </c>
      <c r="G297" s="15">
        <v>74</v>
      </c>
      <c r="H297" s="16">
        <f t="shared" si="19"/>
        <v>79.3075</v>
      </c>
      <c r="I297" s="17"/>
    </row>
    <row r="298" spans="1:9" s="1" customFormat="1" ht="20.25" customHeight="1">
      <c r="A298" s="10">
        <v>296</v>
      </c>
      <c r="B298" s="11" t="s">
        <v>95</v>
      </c>
      <c r="C298" s="10" t="str">
        <f>"890910230910"</f>
        <v>890910230910</v>
      </c>
      <c r="D298" s="10">
        <v>68</v>
      </c>
      <c r="E298" s="10">
        <v>93</v>
      </c>
      <c r="F298" s="14">
        <f t="shared" si="18"/>
        <v>81.75</v>
      </c>
      <c r="G298" s="15">
        <v>75.8</v>
      </c>
      <c r="H298" s="16">
        <f t="shared" si="19"/>
        <v>79.0725</v>
      </c>
      <c r="I298" s="17"/>
    </row>
    <row r="299" spans="1:9" s="1" customFormat="1" ht="20.25" customHeight="1">
      <c r="A299" s="10">
        <v>297</v>
      </c>
      <c r="B299" s="11" t="s">
        <v>95</v>
      </c>
      <c r="C299" s="10" t="str">
        <f>"890801230801"</f>
        <v>890801230801</v>
      </c>
      <c r="D299" s="10">
        <v>66</v>
      </c>
      <c r="E299" s="10">
        <v>97</v>
      </c>
      <c r="F299" s="14">
        <f t="shared" si="18"/>
        <v>83.05</v>
      </c>
      <c r="G299" s="15">
        <v>72</v>
      </c>
      <c r="H299" s="16">
        <f t="shared" si="19"/>
        <v>78.0775</v>
      </c>
      <c r="I299" s="17"/>
    </row>
    <row r="300" spans="1:9" s="1" customFormat="1" ht="20.25" customHeight="1">
      <c r="A300" s="10">
        <v>298</v>
      </c>
      <c r="B300" s="11" t="s">
        <v>96</v>
      </c>
      <c r="C300" s="10" t="str">
        <f>"891417231417"</f>
        <v>891417231417</v>
      </c>
      <c r="D300" s="10">
        <v>81</v>
      </c>
      <c r="E300" s="10">
        <v>53</v>
      </c>
      <c r="F300" s="14">
        <f t="shared" si="18"/>
        <v>65.60000000000001</v>
      </c>
      <c r="G300" s="15">
        <v>71.2</v>
      </c>
      <c r="H300" s="16">
        <f t="shared" si="19"/>
        <v>68.12</v>
      </c>
      <c r="I300" s="17"/>
    </row>
    <row r="301" spans="1:9" s="1" customFormat="1" ht="20.25" customHeight="1">
      <c r="A301" s="10">
        <v>299</v>
      </c>
      <c r="B301" s="11" t="s">
        <v>97</v>
      </c>
      <c r="C301" s="10" t="str">
        <f>"892705232705"</f>
        <v>892705232705</v>
      </c>
      <c r="D301" s="10">
        <v>65</v>
      </c>
      <c r="E301" s="10">
        <v>64</v>
      </c>
      <c r="F301" s="14">
        <f t="shared" si="18"/>
        <v>64.45</v>
      </c>
      <c r="G301" s="15">
        <v>78.4</v>
      </c>
      <c r="H301" s="16">
        <f t="shared" si="19"/>
        <v>70.7275</v>
      </c>
      <c r="I301" s="17"/>
    </row>
    <row r="302" spans="1:9" s="1" customFormat="1" ht="20.25" customHeight="1">
      <c r="A302" s="10">
        <v>300</v>
      </c>
      <c r="B302" s="11" t="s">
        <v>97</v>
      </c>
      <c r="C302" s="10" t="str">
        <f>"892709232709"</f>
        <v>892709232709</v>
      </c>
      <c r="D302" s="10">
        <v>69</v>
      </c>
      <c r="E302" s="10">
        <v>58</v>
      </c>
      <c r="F302" s="14">
        <f t="shared" si="18"/>
        <v>62.95</v>
      </c>
      <c r="G302" s="15">
        <v>76.9</v>
      </c>
      <c r="H302" s="16">
        <f t="shared" si="19"/>
        <v>69.2275</v>
      </c>
      <c r="I302" s="17"/>
    </row>
    <row r="303" spans="1:9" s="1" customFormat="1" ht="20.25" customHeight="1">
      <c r="A303" s="10">
        <v>301</v>
      </c>
      <c r="B303" s="11" t="s">
        <v>97</v>
      </c>
      <c r="C303" s="10" t="str">
        <f>"892716232716"</f>
        <v>892716232716</v>
      </c>
      <c r="D303" s="10">
        <v>65</v>
      </c>
      <c r="E303" s="10">
        <v>63</v>
      </c>
      <c r="F303" s="14">
        <f t="shared" si="18"/>
        <v>63.900000000000006</v>
      </c>
      <c r="G303" s="15">
        <v>74.6</v>
      </c>
      <c r="H303" s="16">
        <f t="shared" si="19"/>
        <v>68.715</v>
      </c>
      <c r="I303" s="17"/>
    </row>
    <row r="304" spans="1:9" s="1" customFormat="1" ht="20.25" customHeight="1">
      <c r="A304" s="10">
        <v>302</v>
      </c>
      <c r="B304" s="11" t="s">
        <v>97</v>
      </c>
      <c r="C304" s="10" t="str">
        <f>"892713232713"</f>
        <v>892713232713</v>
      </c>
      <c r="D304" s="10">
        <v>67</v>
      </c>
      <c r="E304" s="10">
        <v>67</v>
      </c>
      <c r="F304" s="14">
        <f t="shared" si="18"/>
        <v>67</v>
      </c>
      <c r="G304" s="15">
        <v>70.6</v>
      </c>
      <c r="H304" s="16">
        <f t="shared" si="19"/>
        <v>68.62</v>
      </c>
      <c r="I304" s="17"/>
    </row>
    <row r="305" spans="1:9" s="1" customFormat="1" ht="20.25" customHeight="1">
      <c r="A305" s="10">
        <v>303</v>
      </c>
      <c r="B305" s="11" t="s">
        <v>97</v>
      </c>
      <c r="C305" s="10" t="str">
        <f>"892711232711"</f>
        <v>892711232711</v>
      </c>
      <c r="D305" s="10">
        <v>59</v>
      </c>
      <c r="E305" s="10">
        <v>62</v>
      </c>
      <c r="F305" s="14">
        <f t="shared" si="18"/>
        <v>60.650000000000006</v>
      </c>
      <c r="G305" s="15">
        <v>71.8</v>
      </c>
      <c r="H305" s="16">
        <f t="shared" si="19"/>
        <v>65.66750000000002</v>
      </c>
      <c r="I305" s="17"/>
    </row>
    <row r="306" spans="1:9" s="1" customFormat="1" ht="20.25" customHeight="1">
      <c r="A306" s="10">
        <v>304</v>
      </c>
      <c r="B306" s="11" t="s">
        <v>97</v>
      </c>
      <c r="C306" s="10" t="str">
        <f>"892706232706"</f>
        <v>892706232706</v>
      </c>
      <c r="D306" s="10">
        <v>61</v>
      </c>
      <c r="E306" s="10">
        <v>67</v>
      </c>
      <c r="F306" s="14">
        <f t="shared" si="18"/>
        <v>64.3</v>
      </c>
      <c r="G306" s="11" t="s">
        <v>12</v>
      </c>
      <c r="H306" s="16" t="s">
        <v>13</v>
      </c>
      <c r="I306" s="17"/>
    </row>
    <row r="307" spans="1:9" s="1" customFormat="1" ht="20.25" customHeight="1">
      <c r="A307" s="10">
        <v>305</v>
      </c>
      <c r="B307" s="11" t="s">
        <v>98</v>
      </c>
      <c r="C307" s="10" t="str">
        <f>"892117122117"</f>
        <v>892117122117</v>
      </c>
      <c r="D307" s="10">
        <v>71</v>
      </c>
      <c r="E307" s="10">
        <v>76</v>
      </c>
      <c r="F307" s="14">
        <f t="shared" si="18"/>
        <v>73.75</v>
      </c>
      <c r="G307" s="15">
        <v>75.4</v>
      </c>
      <c r="H307" s="16">
        <f aca="true" t="shared" si="20" ref="H307:H350">F307*0.55+G307*0.45</f>
        <v>74.4925</v>
      </c>
      <c r="I307" s="17"/>
    </row>
    <row r="308" spans="1:9" s="1" customFormat="1" ht="20.25" customHeight="1">
      <c r="A308" s="10">
        <v>306</v>
      </c>
      <c r="B308" s="11" t="s">
        <v>98</v>
      </c>
      <c r="C308" s="10" t="str">
        <f>"892126122126"</f>
        <v>892126122126</v>
      </c>
      <c r="D308" s="10">
        <v>78</v>
      </c>
      <c r="E308" s="10">
        <v>56</v>
      </c>
      <c r="F308" s="14">
        <f t="shared" si="18"/>
        <v>65.9</v>
      </c>
      <c r="G308" s="15">
        <v>77</v>
      </c>
      <c r="H308" s="16">
        <f t="shared" si="20"/>
        <v>70.89500000000001</v>
      </c>
      <c r="I308" s="17"/>
    </row>
    <row r="309" spans="1:9" s="1" customFormat="1" ht="20.25" customHeight="1">
      <c r="A309" s="10">
        <v>307</v>
      </c>
      <c r="B309" s="11" t="s">
        <v>98</v>
      </c>
      <c r="C309" s="10" t="str">
        <f>"892130122130"</f>
        <v>892130122130</v>
      </c>
      <c r="D309" s="10">
        <v>76</v>
      </c>
      <c r="E309" s="10">
        <v>62</v>
      </c>
      <c r="F309" s="14">
        <f t="shared" si="18"/>
        <v>68.30000000000001</v>
      </c>
      <c r="G309" s="15">
        <v>73.6</v>
      </c>
      <c r="H309" s="16">
        <f t="shared" si="20"/>
        <v>70.685</v>
      </c>
      <c r="I309" s="17"/>
    </row>
    <row r="310" spans="1:9" s="1" customFormat="1" ht="20.25" customHeight="1">
      <c r="A310" s="10">
        <v>308</v>
      </c>
      <c r="B310" s="11" t="s">
        <v>99</v>
      </c>
      <c r="C310" s="10" t="str">
        <f>"892808232808"</f>
        <v>892808232808</v>
      </c>
      <c r="D310" s="10">
        <v>75</v>
      </c>
      <c r="E310" s="10">
        <v>48</v>
      </c>
      <c r="F310" s="14">
        <f t="shared" si="18"/>
        <v>60.150000000000006</v>
      </c>
      <c r="G310" s="15">
        <v>74.2</v>
      </c>
      <c r="H310" s="16">
        <f t="shared" si="20"/>
        <v>66.4725</v>
      </c>
      <c r="I310" s="17"/>
    </row>
    <row r="311" spans="1:9" s="1" customFormat="1" ht="20.25" customHeight="1">
      <c r="A311" s="10">
        <v>309</v>
      </c>
      <c r="B311" s="11" t="s">
        <v>99</v>
      </c>
      <c r="C311" s="10" t="str">
        <f>"892806232806"</f>
        <v>892806232806</v>
      </c>
      <c r="D311" s="10">
        <v>66</v>
      </c>
      <c r="E311" s="10">
        <v>49</v>
      </c>
      <c r="F311" s="14">
        <f t="shared" si="18"/>
        <v>56.650000000000006</v>
      </c>
      <c r="G311" s="15">
        <v>71.4</v>
      </c>
      <c r="H311" s="16">
        <f t="shared" si="20"/>
        <v>63.28750000000001</v>
      </c>
      <c r="I311" s="17"/>
    </row>
    <row r="312" spans="1:9" s="1" customFormat="1" ht="20.25" customHeight="1">
      <c r="A312" s="10">
        <v>310</v>
      </c>
      <c r="B312" s="11" t="s">
        <v>99</v>
      </c>
      <c r="C312" s="10" t="str">
        <f>"892801232801"</f>
        <v>892801232801</v>
      </c>
      <c r="D312" s="10">
        <v>64</v>
      </c>
      <c r="E312" s="10">
        <v>43</v>
      </c>
      <c r="F312" s="14">
        <f t="shared" si="18"/>
        <v>52.45</v>
      </c>
      <c r="G312" s="15">
        <v>71.4</v>
      </c>
      <c r="H312" s="16">
        <f t="shared" si="20"/>
        <v>60.977500000000006</v>
      </c>
      <c r="I312" s="17"/>
    </row>
    <row r="313" spans="1:9" s="1" customFormat="1" ht="25.5" customHeight="1">
      <c r="A313" s="10">
        <v>311</v>
      </c>
      <c r="B313" s="11" t="s">
        <v>100</v>
      </c>
      <c r="C313" s="10" t="str">
        <f>"892214122214"</f>
        <v>892214122214</v>
      </c>
      <c r="D313" s="10">
        <v>81</v>
      </c>
      <c r="E313" s="10">
        <v>77</v>
      </c>
      <c r="F313" s="14">
        <f t="shared" si="18"/>
        <v>78.80000000000001</v>
      </c>
      <c r="G313" s="15">
        <v>74.4</v>
      </c>
      <c r="H313" s="16">
        <f t="shared" si="20"/>
        <v>76.82000000000002</v>
      </c>
      <c r="I313" s="17"/>
    </row>
    <row r="314" spans="1:9" s="1" customFormat="1" ht="25.5" customHeight="1">
      <c r="A314" s="10">
        <v>312</v>
      </c>
      <c r="B314" s="11" t="s">
        <v>100</v>
      </c>
      <c r="C314" s="10" t="str">
        <f>"892209122209"</f>
        <v>892209122209</v>
      </c>
      <c r="D314" s="10">
        <v>68</v>
      </c>
      <c r="E314" s="10">
        <v>62</v>
      </c>
      <c r="F314" s="14">
        <f t="shared" si="18"/>
        <v>64.7</v>
      </c>
      <c r="G314" s="15">
        <v>70.8</v>
      </c>
      <c r="H314" s="16">
        <f t="shared" si="20"/>
        <v>67.44500000000001</v>
      </c>
      <c r="I314" s="17"/>
    </row>
    <row r="315" spans="1:9" ht="25.5" customHeight="1">
      <c r="A315" s="10">
        <v>313</v>
      </c>
      <c r="B315" s="11" t="s">
        <v>100</v>
      </c>
      <c r="C315" s="10" t="str">
        <f>"892211122211"</f>
        <v>892211122211</v>
      </c>
      <c r="D315" s="10">
        <v>56</v>
      </c>
      <c r="E315" s="10">
        <v>57</v>
      </c>
      <c r="F315" s="14">
        <f t="shared" si="18"/>
        <v>56.55</v>
      </c>
      <c r="G315" s="15">
        <v>74.9</v>
      </c>
      <c r="H315" s="16">
        <f t="shared" si="20"/>
        <v>64.8075</v>
      </c>
      <c r="I315" s="20"/>
    </row>
    <row r="316" spans="1:9" ht="25.5" customHeight="1">
      <c r="A316" s="10">
        <v>314</v>
      </c>
      <c r="B316" s="11" t="s">
        <v>101</v>
      </c>
      <c r="C316" s="10" t="str">
        <f>"891810231810"</f>
        <v>891810231810</v>
      </c>
      <c r="D316" s="10">
        <v>81</v>
      </c>
      <c r="E316" s="10">
        <v>76</v>
      </c>
      <c r="F316" s="14">
        <f t="shared" si="18"/>
        <v>78.25</v>
      </c>
      <c r="G316" s="15">
        <v>75</v>
      </c>
      <c r="H316" s="16">
        <f t="shared" si="20"/>
        <v>76.7875</v>
      </c>
      <c r="I316" s="20"/>
    </row>
    <row r="317" spans="1:9" ht="25.5" customHeight="1">
      <c r="A317" s="10">
        <v>315</v>
      </c>
      <c r="B317" s="11" t="s">
        <v>101</v>
      </c>
      <c r="C317" s="10" t="str">
        <f>"891813231813"</f>
        <v>891813231813</v>
      </c>
      <c r="D317" s="10">
        <v>82</v>
      </c>
      <c r="E317" s="10">
        <v>66</v>
      </c>
      <c r="F317" s="14">
        <f t="shared" si="18"/>
        <v>73.2</v>
      </c>
      <c r="G317" s="15">
        <v>74.2</v>
      </c>
      <c r="H317" s="16">
        <f t="shared" si="20"/>
        <v>73.65</v>
      </c>
      <c r="I317" s="20"/>
    </row>
    <row r="318" spans="1:9" ht="25.5" customHeight="1">
      <c r="A318" s="10">
        <v>316</v>
      </c>
      <c r="B318" s="11" t="s">
        <v>102</v>
      </c>
      <c r="C318" s="10" t="str">
        <f>"892215122215"</f>
        <v>892215122215</v>
      </c>
      <c r="D318" s="10">
        <v>78</v>
      </c>
      <c r="E318" s="10">
        <v>52</v>
      </c>
      <c r="F318" s="14">
        <f t="shared" si="18"/>
        <v>63.7</v>
      </c>
      <c r="G318" s="15">
        <v>75.6</v>
      </c>
      <c r="H318" s="16">
        <f t="shared" si="20"/>
        <v>69.055</v>
      </c>
      <c r="I318" s="20"/>
    </row>
    <row r="319" spans="1:9" ht="25.5" customHeight="1">
      <c r="A319" s="10">
        <v>317</v>
      </c>
      <c r="B319" s="11" t="s">
        <v>103</v>
      </c>
      <c r="C319" s="10" t="str">
        <f>"890319230319"</f>
        <v>890319230319</v>
      </c>
      <c r="D319" s="10">
        <v>53</v>
      </c>
      <c r="E319" s="10">
        <v>56</v>
      </c>
      <c r="F319" s="14">
        <f t="shared" si="18"/>
        <v>54.650000000000006</v>
      </c>
      <c r="G319" s="15">
        <v>74.6</v>
      </c>
      <c r="H319" s="16">
        <f t="shared" si="20"/>
        <v>63.627500000000005</v>
      </c>
      <c r="I319" s="20"/>
    </row>
    <row r="320" spans="1:9" ht="25.5" customHeight="1">
      <c r="A320" s="10">
        <v>318</v>
      </c>
      <c r="B320" s="11" t="s">
        <v>103</v>
      </c>
      <c r="C320" s="10" t="str">
        <f>"890318230318"</f>
        <v>890318230318</v>
      </c>
      <c r="D320" s="10">
        <v>52</v>
      </c>
      <c r="E320" s="10">
        <v>58</v>
      </c>
      <c r="F320" s="14">
        <f t="shared" si="18"/>
        <v>55.300000000000004</v>
      </c>
      <c r="G320" s="15">
        <v>70.8</v>
      </c>
      <c r="H320" s="16">
        <f t="shared" si="20"/>
        <v>62.275000000000006</v>
      </c>
      <c r="I320" s="20"/>
    </row>
    <row r="321" spans="1:9" ht="25.5" customHeight="1">
      <c r="A321" s="10">
        <v>319</v>
      </c>
      <c r="B321" s="11" t="s">
        <v>104</v>
      </c>
      <c r="C321" s="10" t="str">
        <f>"892720232720"</f>
        <v>892720232720</v>
      </c>
      <c r="D321" s="10">
        <v>66</v>
      </c>
      <c r="E321" s="10">
        <v>64</v>
      </c>
      <c r="F321" s="14">
        <f t="shared" si="18"/>
        <v>64.9</v>
      </c>
      <c r="G321" s="15">
        <v>76</v>
      </c>
      <c r="H321" s="16">
        <f t="shared" si="20"/>
        <v>69.89500000000001</v>
      </c>
      <c r="I321" s="20"/>
    </row>
    <row r="322" spans="1:9" ht="25.5" customHeight="1">
      <c r="A322" s="10">
        <v>320</v>
      </c>
      <c r="B322" s="11" t="s">
        <v>105</v>
      </c>
      <c r="C322" s="10" t="str">
        <f>"890326230326"</f>
        <v>890326230326</v>
      </c>
      <c r="D322" s="10">
        <v>65</v>
      </c>
      <c r="E322" s="10">
        <v>72</v>
      </c>
      <c r="F322" s="14">
        <f t="shared" si="18"/>
        <v>68.85</v>
      </c>
      <c r="G322" s="15">
        <v>73</v>
      </c>
      <c r="H322" s="16">
        <f t="shared" si="20"/>
        <v>70.7175</v>
      </c>
      <c r="I322" s="20"/>
    </row>
    <row r="323" spans="1:9" ht="25.5" customHeight="1">
      <c r="A323" s="10">
        <v>321</v>
      </c>
      <c r="B323" s="11" t="s">
        <v>105</v>
      </c>
      <c r="C323" s="10" t="str">
        <f>"890325230325"</f>
        <v>890325230325</v>
      </c>
      <c r="D323" s="10">
        <v>70</v>
      </c>
      <c r="E323" s="10">
        <v>61</v>
      </c>
      <c r="F323" s="14">
        <f aca="true" t="shared" si="21" ref="F323:F386">D323*0.45+E323*0.55</f>
        <v>65.05000000000001</v>
      </c>
      <c r="G323" s="15">
        <v>72.2</v>
      </c>
      <c r="H323" s="16">
        <f t="shared" si="20"/>
        <v>68.26750000000001</v>
      </c>
      <c r="I323" s="20"/>
    </row>
    <row r="324" spans="1:9" ht="25.5" customHeight="1">
      <c r="A324" s="10">
        <v>322</v>
      </c>
      <c r="B324" s="11" t="s">
        <v>105</v>
      </c>
      <c r="C324" s="10" t="str">
        <f>"890322230322"</f>
        <v>890322230322</v>
      </c>
      <c r="D324" s="10">
        <v>69</v>
      </c>
      <c r="E324" s="10">
        <v>55</v>
      </c>
      <c r="F324" s="14">
        <f t="shared" si="21"/>
        <v>61.300000000000004</v>
      </c>
      <c r="G324" s="15">
        <v>32.4</v>
      </c>
      <c r="H324" s="16">
        <f t="shared" si="20"/>
        <v>48.295</v>
      </c>
      <c r="I324" s="20"/>
    </row>
    <row r="325" spans="1:9" ht="25.5" customHeight="1">
      <c r="A325" s="10">
        <v>323</v>
      </c>
      <c r="B325" s="11" t="s">
        <v>106</v>
      </c>
      <c r="C325" s="10" t="str">
        <f>"892810232810"</f>
        <v>892810232810</v>
      </c>
      <c r="D325" s="10">
        <v>79</v>
      </c>
      <c r="E325" s="10">
        <v>41</v>
      </c>
      <c r="F325" s="14">
        <f t="shared" si="21"/>
        <v>58.10000000000001</v>
      </c>
      <c r="G325" s="15">
        <v>73.8</v>
      </c>
      <c r="H325" s="16">
        <f t="shared" si="20"/>
        <v>65.165</v>
      </c>
      <c r="I325" s="20"/>
    </row>
    <row r="326" spans="1:9" ht="25.5" customHeight="1">
      <c r="A326" s="10">
        <v>324</v>
      </c>
      <c r="B326" s="11" t="s">
        <v>106</v>
      </c>
      <c r="C326" s="10" t="str">
        <f>"892813232813"</f>
        <v>892813232813</v>
      </c>
      <c r="D326" s="10">
        <v>59</v>
      </c>
      <c r="E326" s="10">
        <v>44</v>
      </c>
      <c r="F326" s="14">
        <f t="shared" si="21"/>
        <v>50.75</v>
      </c>
      <c r="G326" s="15">
        <v>57.4</v>
      </c>
      <c r="H326" s="16">
        <f t="shared" si="20"/>
        <v>53.7425</v>
      </c>
      <c r="I326" s="20"/>
    </row>
    <row r="327" spans="1:9" ht="25.5" customHeight="1">
      <c r="A327" s="10">
        <v>325</v>
      </c>
      <c r="B327" s="11" t="s">
        <v>107</v>
      </c>
      <c r="C327" s="10" t="str">
        <f>"892827232827"</f>
        <v>892827232827</v>
      </c>
      <c r="D327" s="10">
        <v>71</v>
      </c>
      <c r="E327" s="10">
        <v>45</v>
      </c>
      <c r="F327" s="14">
        <f t="shared" si="21"/>
        <v>56.7</v>
      </c>
      <c r="G327" s="15">
        <v>76.8</v>
      </c>
      <c r="H327" s="16">
        <f t="shared" si="20"/>
        <v>65.745</v>
      </c>
      <c r="I327" s="20"/>
    </row>
    <row r="328" spans="1:9" ht="25.5" customHeight="1">
      <c r="A328" s="10">
        <v>326</v>
      </c>
      <c r="B328" s="11" t="s">
        <v>107</v>
      </c>
      <c r="C328" s="10" t="str">
        <f>"892819232819"</f>
        <v>892819232819</v>
      </c>
      <c r="D328" s="10">
        <v>67</v>
      </c>
      <c r="E328" s="10">
        <v>48</v>
      </c>
      <c r="F328" s="14">
        <f t="shared" si="21"/>
        <v>56.550000000000004</v>
      </c>
      <c r="G328" s="15">
        <v>75.5</v>
      </c>
      <c r="H328" s="16">
        <f t="shared" si="20"/>
        <v>65.07750000000001</v>
      </c>
      <c r="I328" s="20"/>
    </row>
    <row r="329" spans="1:9" ht="25.5" customHeight="1">
      <c r="A329" s="10">
        <v>327</v>
      </c>
      <c r="B329" s="11" t="s">
        <v>107</v>
      </c>
      <c r="C329" s="10" t="str">
        <f>"892822232822"</f>
        <v>892822232822</v>
      </c>
      <c r="D329" s="10">
        <v>63</v>
      </c>
      <c r="E329" s="10">
        <v>43</v>
      </c>
      <c r="F329" s="14">
        <f t="shared" si="21"/>
        <v>52</v>
      </c>
      <c r="G329" s="15">
        <v>74.9</v>
      </c>
      <c r="H329" s="16">
        <f t="shared" si="20"/>
        <v>62.30500000000001</v>
      </c>
      <c r="I329" s="20"/>
    </row>
    <row r="330" spans="1:9" ht="25.5" customHeight="1">
      <c r="A330" s="10">
        <v>328</v>
      </c>
      <c r="B330" s="11" t="s">
        <v>108</v>
      </c>
      <c r="C330" s="10" t="str">
        <f>"892418232418"</f>
        <v>892418232418</v>
      </c>
      <c r="D330" s="10">
        <v>81</v>
      </c>
      <c r="E330" s="10">
        <v>76</v>
      </c>
      <c r="F330" s="14">
        <f t="shared" si="21"/>
        <v>78.25</v>
      </c>
      <c r="G330" s="15">
        <v>71.2</v>
      </c>
      <c r="H330" s="16">
        <f t="shared" si="20"/>
        <v>75.0775</v>
      </c>
      <c r="I330" s="20"/>
    </row>
    <row r="331" spans="1:9" ht="25.5" customHeight="1">
      <c r="A331" s="10">
        <v>329</v>
      </c>
      <c r="B331" s="11" t="s">
        <v>108</v>
      </c>
      <c r="C331" s="10" t="str">
        <f>"892420232420"</f>
        <v>892420232420</v>
      </c>
      <c r="D331" s="10">
        <v>76</v>
      </c>
      <c r="E331" s="10">
        <v>70</v>
      </c>
      <c r="F331" s="14">
        <f t="shared" si="21"/>
        <v>72.7</v>
      </c>
      <c r="G331" s="15">
        <v>76</v>
      </c>
      <c r="H331" s="16">
        <f t="shared" si="20"/>
        <v>74.185</v>
      </c>
      <c r="I331" s="20"/>
    </row>
    <row r="332" spans="1:9" ht="25.5" customHeight="1">
      <c r="A332" s="10">
        <v>330</v>
      </c>
      <c r="B332" s="11" t="s">
        <v>108</v>
      </c>
      <c r="C332" s="10" t="str">
        <f>"892502232502"</f>
        <v>892502232502</v>
      </c>
      <c r="D332" s="10">
        <v>66</v>
      </c>
      <c r="E332" s="10">
        <v>77</v>
      </c>
      <c r="F332" s="14">
        <f t="shared" si="21"/>
        <v>72.05</v>
      </c>
      <c r="G332" s="15">
        <v>72.4</v>
      </c>
      <c r="H332" s="16">
        <f t="shared" si="20"/>
        <v>72.20750000000001</v>
      </c>
      <c r="I332" s="20"/>
    </row>
    <row r="333" spans="1:9" ht="25.5" customHeight="1">
      <c r="A333" s="10">
        <v>331</v>
      </c>
      <c r="B333" s="11" t="s">
        <v>109</v>
      </c>
      <c r="C333" s="10" t="str">
        <f>"891503231503"</f>
        <v>891503231503</v>
      </c>
      <c r="D333" s="10">
        <v>67</v>
      </c>
      <c r="E333" s="10">
        <v>68</v>
      </c>
      <c r="F333" s="14">
        <f t="shared" si="21"/>
        <v>67.55000000000001</v>
      </c>
      <c r="G333" s="15">
        <v>73</v>
      </c>
      <c r="H333" s="16">
        <f t="shared" si="20"/>
        <v>70.00250000000001</v>
      </c>
      <c r="I333" s="20"/>
    </row>
    <row r="334" spans="1:9" ht="25.5" customHeight="1">
      <c r="A334" s="10">
        <v>332</v>
      </c>
      <c r="B334" s="11" t="s">
        <v>109</v>
      </c>
      <c r="C334" s="10" t="str">
        <f>"891501231501"</f>
        <v>891501231501</v>
      </c>
      <c r="D334" s="10">
        <v>70</v>
      </c>
      <c r="E334" s="10">
        <v>43</v>
      </c>
      <c r="F334" s="14">
        <f t="shared" si="21"/>
        <v>55.150000000000006</v>
      </c>
      <c r="G334" s="15">
        <v>75</v>
      </c>
      <c r="H334" s="16">
        <f t="shared" si="20"/>
        <v>64.08250000000001</v>
      </c>
      <c r="I334" s="20"/>
    </row>
    <row r="335" spans="1:9" ht="25.5" customHeight="1">
      <c r="A335" s="10">
        <v>333</v>
      </c>
      <c r="B335" s="11" t="s">
        <v>109</v>
      </c>
      <c r="C335" s="10" t="str">
        <f>"891423231423"</f>
        <v>891423231423</v>
      </c>
      <c r="D335" s="10">
        <v>72</v>
      </c>
      <c r="E335" s="10">
        <v>35</v>
      </c>
      <c r="F335" s="14">
        <f t="shared" si="21"/>
        <v>51.65</v>
      </c>
      <c r="G335" s="15">
        <v>77.5</v>
      </c>
      <c r="H335" s="16">
        <f t="shared" si="20"/>
        <v>63.2825</v>
      </c>
      <c r="I335" s="20"/>
    </row>
    <row r="336" spans="1:9" ht="25.5" customHeight="1">
      <c r="A336" s="10">
        <v>334</v>
      </c>
      <c r="B336" s="11" t="s">
        <v>110</v>
      </c>
      <c r="C336" s="10" t="str">
        <f>"892313122313"</f>
        <v>892313122313</v>
      </c>
      <c r="D336" s="10">
        <v>78</v>
      </c>
      <c r="E336" s="10">
        <v>67</v>
      </c>
      <c r="F336" s="14">
        <f t="shared" si="21"/>
        <v>71.95</v>
      </c>
      <c r="G336" s="15">
        <v>74.2</v>
      </c>
      <c r="H336" s="16">
        <f t="shared" si="20"/>
        <v>72.9625</v>
      </c>
      <c r="I336" s="20"/>
    </row>
    <row r="337" spans="1:9" ht="25.5" customHeight="1">
      <c r="A337" s="10">
        <v>335</v>
      </c>
      <c r="B337" s="11" t="s">
        <v>110</v>
      </c>
      <c r="C337" s="10" t="str">
        <f>"892301122301"</f>
        <v>892301122301</v>
      </c>
      <c r="D337" s="10">
        <v>76</v>
      </c>
      <c r="E337" s="10">
        <v>68</v>
      </c>
      <c r="F337" s="14">
        <f t="shared" si="21"/>
        <v>71.60000000000001</v>
      </c>
      <c r="G337" s="15">
        <v>74</v>
      </c>
      <c r="H337" s="16">
        <f t="shared" si="20"/>
        <v>72.68</v>
      </c>
      <c r="I337" s="20"/>
    </row>
    <row r="338" spans="1:9" ht="25.5" customHeight="1">
      <c r="A338" s="10">
        <v>336</v>
      </c>
      <c r="B338" s="11" t="s">
        <v>110</v>
      </c>
      <c r="C338" s="10" t="str">
        <f>"892310122310"</f>
        <v>892310122310</v>
      </c>
      <c r="D338" s="10">
        <v>76</v>
      </c>
      <c r="E338" s="10">
        <v>60</v>
      </c>
      <c r="F338" s="14">
        <f t="shared" si="21"/>
        <v>67.2</v>
      </c>
      <c r="G338" s="15">
        <v>74.6</v>
      </c>
      <c r="H338" s="16">
        <f t="shared" si="20"/>
        <v>70.53</v>
      </c>
      <c r="I338" s="20"/>
    </row>
    <row r="339" spans="1:9" ht="25.5" customHeight="1">
      <c r="A339" s="10">
        <v>337</v>
      </c>
      <c r="B339" s="11" t="s">
        <v>111</v>
      </c>
      <c r="C339" s="10" t="str">
        <f>"892323122323"</f>
        <v>892323122323</v>
      </c>
      <c r="D339" s="10">
        <v>67</v>
      </c>
      <c r="E339" s="10">
        <v>68</v>
      </c>
      <c r="F339" s="14">
        <f t="shared" si="21"/>
        <v>67.55000000000001</v>
      </c>
      <c r="G339" s="15">
        <v>79.3</v>
      </c>
      <c r="H339" s="16">
        <f t="shared" si="20"/>
        <v>72.8375</v>
      </c>
      <c r="I339" s="20"/>
    </row>
    <row r="340" spans="1:9" ht="25.5" customHeight="1">
      <c r="A340" s="10">
        <v>338</v>
      </c>
      <c r="B340" s="11" t="s">
        <v>111</v>
      </c>
      <c r="C340" s="10" t="str">
        <f>"892505122505"</f>
        <v>892505122505</v>
      </c>
      <c r="D340" s="10">
        <v>88</v>
      </c>
      <c r="E340" s="10">
        <v>54</v>
      </c>
      <c r="F340" s="14">
        <f t="shared" si="21"/>
        <v>69.30000000000001</v>
      </c>
      <c r="G340" s="15">
        <v>76.7</v>
      </c>
      <c r="H340" s="16">
        <f t="shared" si="20"/>
        <v>72.63000000000001</v>
      </c>
      <c r="I340" s="20"/>
    </row>
    <row r="341" spans="1:9" ht="25.5" customHeight="1">
      <c r="A341" s="10">
        <v>339</v>
      </c>
      <c r="B341" s="11" t="s">
        <v>111</v>
      </c>
      <c r="C341" s="10" t="str">
        <f>"892330122330"</f>
        <v>892330122330</v>
      </c>
      <c r="D341" s="10">
        <v>75</v>
      </c>
      <c r="E341" s="10">
        <v>65</v>
      </c>
      <c r="F341" s="14">
        <f t="shared" si="21"/>
        <v>69.5</v>
      </c>
      <c r="G341" s="15">
        <v>75</v>
      </c>
      <c r="H341" s="16">
        <f t="shared" si="20"/>
        <v>71.975</v>
      </c>
      <c r="I341" s="20"/>
    </row>
    <row r="342" spans="1:9" ht="25.5" customHeight="1">
      <c r="A342" s="10">
        <v>340</v>
      </c>
      <c r="B342" s="11" t="s">
        <v>111</v>
      </c>
      <c r="C342" s="10" t="str">
        <f>"892408122408"</f>
        <v>892408122408</v>
      </c>
      <c r="D342" s="10">
        <v>84</v>
      </c>
      <c r="E342" s="10">
        <v>54</v>
      </c>
      <c r="F342" s="14">
        <f t="shared" si="21"/>
        <v>67.5</v>
      </c>
      <c r="G342" s="15">
        <v>73.8</v>
      </c>
      <c r="H342" s="16">
        <f t="shared" si="20"/>
        <v>70.33500000000001</v>
      </c>
      <c r="I342" s="20"/>
    </row>
    <row r="343" spans="1:9" ht="25.5" customHeight="1">
      <c r="A343" s="10">
        <v>341</v>
      </c>
      <c r="B343" s="11" t="s">
        <v>111</v>
      </c>
      <c r="C343" s="10" t="str">
        <f>"892322122322"</f>
        <v>892322122322</v>
      </c>
      <c r="D343" s="10">
        <v>77</v>
      </c>
      <c r="E343" s="10">
        <v>57</v>
      </c>
      <c r="F343" s="14">
        <f t="shared" si="21"/>
        <v>66</v>
      </c>
      <c r="G343" s="15">
        <v>74.2</v>
      </c>
      <c r="H343" s="16">
        <f t="shared" si="20"/>
        <v>69.69</v>
      </c>
      <c r="I343" s="20"/>
    </row>
    <row r="344" spans="1:9" ht="25.5" customHeight="1">
      <c r="A344" s="10">
        <v>342</v>
      </c>
      <c r="B344" s="11" t="s">
        <v>111</v>
      </c>
      <c r="C344" s="10" t="str">
        <f>"892419122419"</f>
        <v>892419122419</v>
      </c>
      <c r="D344" s="10">
        <v>76</v>
      </c>
      <c r="E344" s="10">
        <v>56</v>
      </c>
      <c r="F344" s="14">
        <f t="shared" si="21"/>
        <v>65</v>
      </c>
      <c r="G344" s="15">
        <v>75</v>
      </c>
      <c r="H344" s="16">
        <f t="shared" si="20"/>
        <v>69.5</v>
      </c>
      <c r="I344" s="20"/>
    </row>
    <row r="345" spans="1:9" ht="25.5" customHeight="1">
      <c r="A345" s="10">
        <v>343</v>
      </c>
      <c r="B345" s="11" t="s">
        <v>112</v>
      </c>
      <c r="C345" s="10" t="str">
        <f>"892618122618"</f>
        <v>892618122618</v>
      </c>
      <c r="D345" s="10">
        <v>84</v>
      </c>
      <c r="E345" s="10">
        <v>64</v>
      </c>
      <c r="F345" s="14">
        <f t="shared" si="21"/>
        <v>73</v>
      </c>
      <c r="G345" s="15">
        <v>78.5</v>
      </c>
      <c r="H345" s="16">
        <f t="shared" si="20"/>
        <v>75.47500000000001</v>
      </c>
      <c r="I345" s="20"/>
    </row>
    <row r="346" spans="1:9" ht="25.5" customHeight="1">
      <c r="A346" s="10">
        <v>344</v>
      </c>
      <c r="B346" s="11" t="s">
        <v>112</v>
      </c>
      <c r="C346" s="10" t="str">
        <f>"892621122621"</f>
        <v>892621122621</v>
      </c>
      <c r="D346" s="10">
        <v>70</v>
      </c>
      <c r="E346" s="10">
        <v>70</v>
      </c>
      <c r="F346" s="14">
        <f t="shared" si="21"/>
        <v>70</v>
      </c>
      <c r="G346" s="15">
        <v>76.4</v>
      </c>
      <c r="H346" s="16">
        <f t="shared" si="20"/>
        <v>72.88</v>
      </c>
      <c r="I346" s="20"/>
    </row>
    <row r="347" spans="1:9" ht="25.5" customHeight="1">
      <c r="A347" s="10">
        <v>345</v>
      </c>
      <c r="B347" s="11" t="s">
        <v>112</v>
      </c>
      <c r="C347" s="10" t="str">
        <f>"892617122617"</f>
        <v>892617122617</v>
      </c>
      <c r="D347" s="10">
        <v>77</v>
      </c>
      <c r="E347" s="10">
        <v>64</v>
      </c>
      <c r="F347" s="14">
        <f t="shared" si="21"/>
        <v>69.85</v>
      </c>
      <c r="G347" s="15">
        <v>75.2</v>
      </c>
      <c r="H347" s="16">
        <f t="shared" si="20"/>
        <v>72.2575</v>
      </c>
      <c r="I347" s="20"/>
    </row>
    <row r="348" spans="1:9" ht="25.5" customHeight="1">
      <c r="A348" s="10">
        <v>346</v>
      </c>
      <c r="B348" s="11" t="s">
        <v>112</v>
      </c>
      <c r="C348" s="10" t="str">
        <f>"892706122706"</f>
        <v>892706122706</v>
      </c>
      <c r="D348" s="10">
        <v>61</v>
      </c>
      <c r="E348" s="10">
        <v>75</v>
      </c>
      <c r="F348" s="14">
        <f t="shared" si="21"/>
        <v>68.7</v>
      </c>
      <c r="G348" s="15">
        <v>74</v>
      </c>
      <c r="H348" s="16">
        <f t="shared" si="20"/>
        <v>71.08500000000001</v>
      </c>
      <c r="I348" s="20"/>
    </row>
    <row r="349" spans="1:9" ht="25.5" customHeight="1">
      <c r="A349" s="10">
        <v>347</v>
      </c>
      <c r="B349" s="11" t="s">
        <v>112</v>
      </c>
      <c r="C349" s="10" t="str">
        <f>"892620122620"</f>
        <v>892620122620</v>
      </c>
      <c r="D349" s="10">
        <v>82</v>
      </c>
      <c r="E349" s="10">
        <v>56</v>
      </c>
      <c r="F349" s="14">
        <f t="shared" si="21"/>
        <v>67.7</v>
      </c>
      <c r="G349" s="15">
        <v>75.2</v>
      </c>
      <c r="H349" s="16">
        <f t="shared" si="20"/>
        <v>71.07500000000002</v>
      </c>
      <c r="I349" s="20"/>
    </row>
    <row r="350" spans="1:9" ht="25.5" customHeight="1">
      <c r="A350" s="10">
        <v>348</v>
      </c>
      <c r="B350" s="11" t="s">
        <v>112</v>
      </c>
      <c r="C350" s="10" t="str">
        <f>"892529122529"</f>
        <v>892529122529</v>
      </c>
      <c r="D350" s="10">
        <v>71</v>
      </c>
      <c r="E350" s="10">
        <v>65</v>
      </c>
      <c r="F350" s="14">
        <f t="shared" si="21"/>
        <v>67.7</v>
      </c>
      <c r="G350" s="15">
        <v>73</v>
      </c>
      <c r="H350" s="16">
        <f t="shared" si="20"/>
        <v>70.08500000000001</v>
      </c>
      <c r="I350" s="20"/>
    </row>
    <row r="351" spans="1:9" ht="25.5" customHeight="1">
      <c r="A351" s="10">
        <v>349</v>
      </c>
      <c r="B351" s="11" t="s">
        <v>112</v>
      </c>
      <c r="C351" s="10" t="str">
        <f>"892616122616"</f>
        <v>892616122616</v>
      </c>
      <c r="D351" s="10">
        <v>67</v>
      </c>
      <c r="E351" s="10">
        <v>69</v>
      </c>
      <c r="F351" s="14">
        <f t="shared" si="21"/>
        <v>68.10000000000001</v>
      </c>
      <c r="G351" s="11" t="s">
        <v>12</v>
      </c>
      <c r="H351" s="16" t="s">
        <v>13</v>
      </c>
      <c r="I351" s="20"/>
    </row>
    <row r="352" spans="1:9" ht="25.5" customHeight="1">
      <c r="A352" s="10">
        <v>350</v>
      </c>
      <c r="B352" s="11" t="s">
        <v>113</v>
      </c>
      <c r="C352" s="10" t="str">
        <f>"892726122726"</f>
        <v>892726122726</v>
      </c>
      <c r="D352" s="10">
        <v>82</v>
      </c>
      <c r="E352" s="10">
        <v>63</v>
      </c>
      <c r="F352" s="14">
        <f t="shared" si="21"/>
        <v>71.55000000000001</v>
      </c>
      <c r="G352" s="15">
        <v>79.8</v>
      </c>
      <c r="H352" s="16">
        <f aca="true" t="shared" si="22" ref="H352:H364">F352*0.55+G352*0.45</f>
        <v>75.2625</v>
      </c>
      <c r="I352" s="20"/>
    </row>
    <row r="353" spans="1:9" ht="25.5" customHeight="1">
      <c r="A353" s="10">
        <v>351</v>
      </c>
      <c r="B353" s="11" t="s">
        <v>113</v>
      </c>
      <c r="C353" s="10" t="str">
        <f>"892723122723"</f>
        <v>892723122723</v>
      </c>
      <c r="D353" s="10">
        <v>69</v>
      </c>
      <c r="E353" s="10">
        <v>75</v>
      </c>
      <c r="F353" s="14">
        <f t="shared" si="21"/>
        <v>72.3</v>
      </c>
      <c r="G353" s="15">
        <v>76.9</v>
      </c>
      <c r="H353" s="16">
        <f t="shared" si="22"/>
        <v>74.37</v>
      </c>
      <c r="I353" s="20"/>
    </row>
    <row r="354" spans="1:9" ht="25.5" customHeight="1">
      <c r="A354" s="10">
        <v>352</v>
      </c>
      <c r="B354" s="11" t="s">
        <v>113</v>
      </c>
      <c r="C354" s="10" t="str">
        <f>"892823122823"</f>
        <v>892823122823</v>
      </c>
      <c r="D354" s="10">
        <v>66</v>
      </c>
      <c r="E354" s="10">
        <v>71</v>
      </c>
      <c r="F354" s="14">
        <f t="shared" si="21"/>
        <v>68.75</v>
      </c>
      <c r="G354" s="15">
        <v>73</v>
      </c>
      <c r="H354" s="16">
        <f t="shared" si="22"/>
        <v>70.6625</v>
      </c>
      <c r="I354" s="20"/>
    </row>
    <row r="355" spans="1:9" ht="25.5" customHeight="1">
      <c r="A355" s="10">
        <v>353</v>
      </c>
      <c r="B355" s="11" t="s">
        <v>114</v>
      </c>
      <c r="C355" s="10" t="str">
        <f>"892910122910"</f>
        <v>892910122910</v>
      </c>
      <c r="D355" s="10">
        <v>69</v>
      </c>
      <c r="E355" s="10">
        <v>61</v>
      </c>
      <c r="F355" s="14">
        <f t="shared" si="21"/>
        <v>64.60000000000001</v>
      </c>
      <c r="G355" s="15">
        <v>78.4</v>
      </c>
      <c r="H355" s="16">
        <f t="shared" si="22"/>
        <v>70.81</v>
      </c>
      <c r="I355" s="20"/>
    </row>
    <row r="356" spans="1:9" ht="25.5" customHeight="1">
      <c r="A356" s="10">
        <v>354</v>
      </c>
      <c r="B356" s="11" t="s">
        <v>114</v>
      </c>
      <c r="C356" s="10" t="str">
        <f>"892916122916"</f>
        <v>892916122916</v>
      </c>
      <c r="D356" s="10">
        <v>76</v>
      </c>
      <c r="E356" s="10">
        <v>56</v>
      </c>
      <c r="F356" s="14">
        <f t="shared" si="21"/>
        <v>65</v>
      </c>
      <c r="G356" s="15">
        <v>77.2</v>
      </c>
      <c r="H356" s="16">
        <f t="shared" si="22"/>
        <v>70.49000000000001</v>
      </c>
      <c r="I356" s="20"/>
    </row>
    <row r="357" spans="1:9" ht="25.5" customHeight="1">
      <c r="A357" s="10">
        <v>355</v>
      </c>
      <c r="B357" s="11" t="s">
        <v>114</v>
      </c>
      <c r="C357" s="10" t="str">
        <f>"892923122923"</f>
        <v>892923122923</v>
      </c>
      <c r="D357" s="10">
        <v>72</v>
      </c>
      <c r="E357" s="10">
        <v>61</v>
      </c>
      <c r="F357" s="14">
        <f t="shared" si="21"/>
        <v>65.95</v>
      </c>
      <c r="G357" s="15">
        <v>74</v>
      </c>
      <c r="H357" s="16">
        <f t="shared" si="22"/>
        <v>69.57250000000002</v>
      </c>
      <c r="I357" s="20"/>
    </row>
    <row r="358" spans="1:9" ht="25.5" customHeight="1">
      <c r="A358" s="10">
        <v>356</v>
      </c>
      <c r="B358" s="11" t="s">
        <v>115</v>
      </c>
      <c r="C358" s="10" t="str">
        <f>"893013123013"</f>
        <v>893013123013</v>
      </c>
      <c r="D358" s="10">
        <v>78</v>
      </c>
      <c r="E358" s="10">
        <v>61</v>
      </c>
      <c r="F358" s="14">
        <f t="shared" si="21"/>
        <v>68.65</v>
      </c>
      <c r="G358" s="15">
        <v>75.7</v>
      </c>
      <c r="H358" s="16">
        <f t="shared" si="22"/>
        <v>71.82250000000002</v>
      </c>
      <c r="I358" s="20"/>
    </row>
    <row r="359" spans="1:9" ht="25.5" customHeight="1">
      <c r="A359" s="10">
        <v>357</v>
      </c>
      <c r="B359" s="11" t="s">
        <v>115</v>
      </c>
      <c r="C359" s="10" t="str">
        <f>"893021123021"</f>
        <v>893021123021</v>
      </c>
      <c r="D359" s="10">
        <v>73</v>
      </c>
      <c r="E359" s="10">
        <v>60</v>
      </c>
      <c r="F359" s="14">
        <f t="shared" si="21"/>
        <v>65.85</v>
      </c>
      <c r="G359" s="15">
        <v>78.1</v>
      </c>
      <c r="H359" s="16">
        <f t="shared" si="22"/>
        <v>71.3625</v>
      </c>
      <c r="I359" s="20"/>
    </row>
    <row r="360" spans="1:9" ht="25.5" customHeight="1">
      <c r="A360" s="10">
        <v>358</v>
      </c>
      <c r="B360" s="11" t="s">
        <v>116</v>
      </c>
      <c r="C360" s="10" t="str">
        <f>"891510231510"</f>
        <v>891510231510</v>
      </c>
      <c r="D360" s="10">
        <v>77</v>
      </c>
      <c r="E360" s="10">
        <v>58</v>
      </c>
      <c r="F360" s="14">
        <f t="shared" si="21"/>
        <v>66.55</v>
      </c>
      <c r="G360" s="15">
        <v>80.5</v>
      </c>
      <c r="H360" s="16">
        <f t="shared" si="22"/>
        <v>72.8275</v>
      </c>
      <c r="I360" s="20"/>
    </row>
    <row r="361" spans="1:9" ht="25.5" customHeight="1">
      <c r="A361" s="10">
        <v>359</v>
      </c>
      <c r="B361" s="11" t="s">
        <v>116</v>
      </c>
      <c r="C361" s="10" t="str">
        <f>"891509231509"</f>
        <v>891509231509</v>
      </c>
      <c r="D361" s="10">
        <v>68</v>
      </c>
      <c r="E361" s="10">
        <v>44</v>
      </c>
      <c r="F361" s="14">
        <f t="shared" si="21"/>
        <v>54.800000000000004</v>
      </c>
      <c r="G361" s="15">
        <v>75</v>
      </c>
      <c r="H361" s="16">
        <f t="shared" si="22"/>
        <v>63.89</v>
      </c>
      <c r="I361" s="20"/>
    </row>
    <row r="362" spans="1:9" ht="25.5" customHeight="1">
      <c r="A362" s="10">
        <v>360</v>
      </c>
      <c r="B362" s="11" t="s">
        <v>116</v>
      </c>
      <c r="C362" s="10" t="str">
        <f>"891508231508"</f>
        <v>891508231508</v>
      </c>
      <c r="D362" s="10">
        <v>64</v>
      </c>
      <c r="E362" s="10">
        <v>47</v>
      </c>
      <c r="F362" s="14">
        <f t="shared" si="21"/>
        <v>54.650000000000006</v>
      </c>
      <c r="G362" s="15">
        <v>74.6</v>
      </c>
      <c r="H362" s="16">
        <f t="shared" si="22"/>
        <v>63.627500000000005</v>
      </c>
      <c r="I362" s="20"/>
    </row>
    <row r="363" spans="1:9" ht="25.5" customHeight="1">
      <c r="A363" s="10">
        <v>361</v>
      </c>
      <c r="B363" s="11" t="s">
        <v>117</v>
      </c>
      <c r="C363" s="10" t="str">
        <f>"893121123121"</f>
        <v>893121123121</v>
      </c>
      <c r="D363" s="10">
        <v>65</v>
      </c>
      <c r="E363" s="10">
        <v>74</v>
      </c>
      <c r="F363" s="14">
        <f t="shared" si="21"/>
        <v>69.95</v>
      </c>
      <c r="G363" s="15">
        <v>78.2</v>
      </c>
      <c r="H363" s="16">
        <f t="shared" si="22"/>
        <v>73.66250000000001</v>
      </c>
      <c r="I363" s="20"/>
    </row>
    <row r="364" spans="1:9" ht="25.5" customHeight="1">
      <c r="A364" s="10">
        <v>362</v>
      </c>
      <c r="B364" s="11" t="s">
        <v>117</v>
      </c>
      <c r="C364" s="10" t="str">
        <f>"893118123118"</f>
        <v>893118123118</v>
      </c>
      <c r="D364" s="10">
        <v>79</v>
      </c>
      <c r="E364" s="10">
        <v>61</v>
      </c>
      <c r="F364" s="14">
        <f t="shared" si="21"/>
        <v>69.10000000000001</v>
      </c>
      <c r="G364" s="15">
        <v>76.2</v>
      </c>
      <c r="H364" s="16">
        <f t="shared" si="22"/>
        <v>72.29500000000002</v>
      </c>
      <c r="I364" s="20"/>
    </row>
    <row r="365" spans="1:9" ht="25.5" customHeight="1">
      <c r="A365" s="10">
        <v>363</v>
      </c>
      <c r="B365" s="11" t="s">
        <v>117</v>
      </c>
      <c r="C365" s="10" t="str">
        <f>"893120123120"</f>
        <v>893120123120</v>
      </c>
      <c r="D365" s="10">
        <v>78</v>
      </c>
      <c r="E365" s="10">
        <v>61</v>
      </c>
      <c r="F365" s="14">
        <f t="shared" si="21"/>
        <v>68.65</v>
      </c>
      <c r="G365" s="11" t="s">
        <v>12</v>
      </c>
      <c r="H365" s="16" t="s">
        <v>13</v>
      </c>
      <c r="I365" s="20"/>
    </row>
    <row r="366" spans="1:9" ht="25.5" customHeight="1">
      <c r="A366" s="10">
        <v>364</v>
      </c>
      <c r="B366" s="11" t="s">
        <v>118</v>
      </c>
      <c r="C366" s="10" t="str">
        <f>"891606231606"</f>
        <v>891606231606</v>
      </c>
      <c r="D366" s="10">
        <v>85</v>
      </c>
      <c r="E366" s="10">
        <v>57</v>
      </c>
      <c r="F366" s="14">
        <f t="shared" si="21"/>
        <v>69.6</v>
      </c>
      <c r="G366" s="15">
        <v>74.1</v>
      </c>
      <c r="H366" s="16">
        <f aca="true" t="shared" si="23" ref="H366:H382">F366*0.55+G366*0.45</f>
        <v>71.625</v>
      </c>
      <c r="I366" s="20"/>
    </row>
    <row r="367" spans="1:9" ht="25.5" customHeight="1">
      <c r="A367" s="10">
        <v>365</v>
      </c>
      <c r="B367" s="11" t="s">
        <v>118</v>
      </c>
      <c r="C367" s="10" t="str">
        <f>"891517231517"</f>
        <v>891517231517</v>
      </c>
      <c r="D367" s="10">
        <v>71</v>
      </c>
      <c r="E367" s="10">
        <v>58</v>
      </c>
      <c r="F367" s="14">
        <f t="shared" si="21"/>
        <v>63.85</v>
      </c>
      <c r="G367" s="15">
        <v>73.6</v>
      </c>
      <c r="H367" s="16">
        <f t="shared" si="23"/>
        <v>68.23750000000001</v>
      </c>
      <c r="I367" s="20"/>
    </row>
    <row r="368" spans="1:9" ht="25.5" customHeight="1">
      <c r="A368" s="10">
        <v>366</v>
      </c>
      <c r="B368" s="11" t="s">
        <v>118</v>
      </c>
      <c r="C368" s="10" t="str">
        <f>"891601231601"</f>
        <v>891601231601</v>
      </c>
      <c r="D368" s="10">
        <v>75</v>
      </c>
      <c r="E368" s="10">
        <v>47</v>
      </c>
      <c r="F368" s="14">
        <f t="shared" si="21"/>
        <v>59.6</v>
      </c>
      <c r="G368" s="15">
        <v>76.9</v>
      </c>
      <c r="H368" s="16">
        <f t="shared" si="23"/>
        <v>67.385</v>
      </c>
      <c r="I368" s="20"/>
    </row>
    <row r="369" spans="1:9" ht="25.5" customHeight="1">
      <c r="A369" s="10">
        <v>367</v>
      </c>
      <c r="B369" s="11" t="s">
        <v>119</v>
      </c>
      <c r="C369" s="10" t="str">
        <f>"893703123703"</f>
        <v>893703123703</v>
      </c>
      <c r="D369" s="10">
        <v>75</v>
      </c>
      <c r="E369" s="10">
        <v>75</v>
      </c>
      <c r="F369" s="14">
        <f t="shared" si="21"/>
        <v>75</v>
      </c>
      <c r="G369" s="15">
        <v>77.8</v>
      </c>
      <c r="H369" s="16">
        <f t="shared" si="23"/>
        <v>76.25999999999999</v>
      </c>
      <c r="I369" s="20"/>
    </row>
    <row r="370" spans="1:9" ht="25.5" customHeight="1">
      <c r="A370" s="10">
        <v>368</v>
      </c>
      <c r="B370" s="11" t="s">
        <v>119</v>
      </c>
      <c r="C370" s="10" t="str">
        <f>"893720123720"</f>
        <v>893720123720</v>
      </c>
      <c r="D370" s="10">
        <v>85</v>
      </c>
      <c r="E370" s="10">
        <v>70</v>
      </c>
      <c r="F370" s="14">
        <f t="shared" si="21"/>
        <v>76.75</v>
      </c>
      <c r="G370" s="15">
        <v>74.2</v>
      </c>
      <c r="H370" s="16">
        <f t="shared" si="23"/>
        <v>75.6025</v>
      </c>
      <c r="I370" s="20"/>
    </row>
    <row r="371" spans="1:9" ht="25.5" customHeight="1">
      <c r="A371" s="10">
        <v>369</v>
      </c>
      <c r="B371" s="11" t="s">
        <v>119</v>
      </c>
      <c r="C371" s="10" t="str">
        <f>"893622123622"</f>
        <v>893622123622</v>
      </c>
      <c r="D371" s="10">
        <v>77</v>
      </c>
      <c r="E371" s="10">
        <v>62</v>
      </c>
      <c r="F371" s="14">
        <f t="shared" si="21"/>
        <v>68.75</v>
      </c>
      <c r="G371" s="15">
        <v>77.4</v>
      </c>
      <c r="H371" s="16">
        <f t="shared" si="23"/>
        <v>72.64250000000001</v>
      </c>
      <c r="I371" s="20"/>
    </row>
    <row r="372" spans="1:9" ht="25.5" customHeight="1">
      <c r="A372" s="10">
        <v>370</v>
      </c>
      <c r="B372" s="11" t="s">
        <v>119</v>
      </c>
      <c r="C372" s="10" t="str">
        <f>"893616123616"</f>
        <v>893616123616</v>
      </c>
      <c r="D372" s="10">
        <v>61</v>
      </c>
      <c r="E372" s="10">
        <v>75</v>
      </c>
      <c r="F372" s="14">
        <f t="shared" si="21"/>
        <v>68.7</v>
      </c>
      <c r="G372" s="15">
        <v>77</v>
      </c>
      <c r="H372" s="16">
        <f t="shared" si="23"/>
        <v>72.435</v>
      </c>
      <c r="I372" s="20"/>
    </row>
    <row r="373" spans="1:9" ht="25.5" customHeight="1">
      <c r="A373" s="10">
        <v>371</v>
      </c>
      <c r="B373" s="11" t="s">
        <v>119</v>
      </c>
      <c r="C373" s="10" t="str">
        <f>"893716123716"</f>
        <v>893716123716</v>
      </c>
      <c r="D373" s="10">
        <v>75</v>
      </c>
      <c r="E373" s="10">
        <v>61</v>
      </c>
      <c r="F373" s="14">
        <f t="shared" si="21"/>
        <v>67.30000000000001</v>
      </c>
      <c r="G373" s="15">
        <v>77.6</v>
      </c>
      <c r="H373" s="16">
        <f t="shared" si="23"/>
        <v>71.935</v>
      </c>
      <c r="I373" s="20"/>
    </row>
    <row r="374" spans="1:9" ht="25.5" customHeight="1">
      <c r="A374" s="10">
        <v>372</v>
      </c>
      <c r="B374" s="11" t="s">
        <v>119</v>
      </c>
      <c r="C374" s="10" t="str">
        <f>"893526123526"</f>
        <v>893526123526</v>
      </c>
      <c r="D374" s="10">
        <v>75</v>
      </c>
      <c r="E374" s="10">
        <v>61</v>
      </c>
      <c r="F374" s="14">
        <f t="shared" si="21"/>
        <v>67.30000000000001</v>
      </c>
      <c r="G374" s="15">
        <v>73.4</v>
      </c>
      <c r="H374" s="16">
        <f t="shared" si="23"/>
        <v>70.04500000000002</v>
      </c>
      <c r="I374" s="20"/>
    </row>
    <row r="375" spans="1:9" ht="25.5" customHeight="1">
      <c r="A375" s="10">
        <v>373</v>
      </c>
      <c r="B375" s="11" t="s">
        <v>120</v>
      </c>
      <c r="C375" s="10" t="str">
        <f>"893801123801"</f>
        <v>893801123801</v>
      </c>
      <c r="D375" s="10">
        <v>83</v>
      </c>
      <c r="E375" s="10">
        <v>61</v>
      </c>
      <c r="F375" s="14">
        <f t="shared" si="21"/>
        <v>70.9</v>
      </c>
      <c r="G375" s="15">
        <v>76.5</v>
      </c>
      <c r="H375" s="16">
        <f t="shared" si="23"/>
        <v>73.42000000000002</v>
      </c>
      <c r="I375" s="20"/>
    </row>
    <row r="376" spans="1:9" ht="25.5" customHeight="1">
      <c r="A376" s="10">
        <v>374</v>
      </c>
      <c r="B376" s="11" t="s">
        <v>120</v>
      </c>
      <c r="C376" s="10" t="str">
        <f>"893809123809"</f>
        <v>893809123809</v>
      </c>
      <c r="D376" s="10">
        <v>71</v>
      </c>
      <c r="E376" s="10">
        <v>61</v>
      </c>
      <c r="F376" s="14">
        <f t="shared" si="21"/>
        <v>65.5</v>
      </c>
      <c r="G376" s="15">
        <v>76.8</v>
      </c>
      <c r="H376" s="16">
        <f t="shared" si="23"/>
        <v>70.58500000000001</v>
      </c>
      <c r="I376" s="20"/>
    </row>
    <row r="377" spans="1:9" ht="25.5" customHeight="1">
      <c r="A377" s="10">
        <v>375</v>
      </c>
      <c r="B377" s="11" t="s">
        <v>120</v>
      </c>
      <c r="C377" s="10" t="str">
        <f>"893815123815"</f>
        <v>893815123815</v>
      </c>
      <c r="D377" s="10">
        <v>68</v>
      </c>
      <c r="E377" s="10">
        <v>62</v>
      </c>
      <c r="F377" s="14">
        <f t="shared" si="21"/>
        <v>64.7</v>
      </c>
      <c r="G377" s="15">
        <v>76.2</v>
      </c>
      <c r="H377" s="16">
        <f t="shared" si="23"/>
        <v>69.875</v>
      </c>
      <c r="I377" s="20"/>
    </row>
    <row r="378" spans="1:9" ht="25.5" customHeight="1">
      <c r="A378" s="10">
        <v>376</v>
      </c>
      <c r="B378" s="11" t="s">
        <v>121</v>
      </c>
      <c r="C378" s="10" t="str">
        <f>"893818123818"</f>
        <v>893818123818</v>
      </c>
      <c r="D378" s="10">
        <v>78</v>
      </c>
      <c r="E378" s="10">
        <v>74</v>
      </c>
      <c r="F378" s="14">
        <f t="shared" si="21"/>
        <v>75.80000000000001</v>
      </c>
      <c r="G378" s="15">
        <v>76.7</v>
      </c>
      <c r="H378" s="16">
        <f t="shared" si="23"/>
        <v>76.20500000000001</v>
      </c>
      <c r="I378" s="20"/>
    </row>
    <row r="379" spans="1:9" ht="25.5" customHeight="1">
      <c r="A379" s="10">
        <v>377</v>
      </c>
      <c r="B379" s="11" t="s">
        <v>121</v>
      </c>
      <c r="C379" s="10" t="str">
        <f>"893820123820"</f>
        <v>893820123820</v>
      </c>
      <c r="D379" s="10">
        <v>85</v>
      </c>
      <c r="E379" s="10">
        <v>67</v>
      </c>
      <c r="F379" s="14">
        <f t="shared" si="21"/>
        <v>75.1</v>
      </c>
      <c r="G379" s="15">
        <v>74.6</v>
      </c>
      <c r="H379" s="16">
        <f t="shared" si="23"/>
        <v>74.875</v>
      </c>
      <c r="I379" s="20"/>
    </row>
    <row r="380" spans="1:9" ht="25.5" customHeight="1">
      <c r="A380" s="10">
        <v>378</v>
      </c>
      <c r="B380" s="11" t="s">
        <v>121</v>
      </c>
      <c r="C380" s="10" t="str">
        <f>"894007124007"</f>
        <v>894007124007</v>
      </c>
      <c r="D380" s="10">
        <v>77</v>
      </c>
      <c r="E380" s="10">
        <v>65</v>
      </c>
      <c r="F380" s="14">
        <f t="shared" si="21"/>
        <v>70.4</v>
      </c>
      <c r="G380" s="15">
        <v>76.8</v>
      </c>
      <c r="H380" s="16">
        <f t="shared" si="23"/>
        <v>73.28</v>
      </c>
      <c r="I380" s="20"/>
    </row>
    <row r="381" spans="1:9" ht="25.5" customHeight="1">
      <c r="A381" s="10">
        <v>379</v>
      </c>
      <c r="B381" s="11" t="s">
        <v>121</v>
      </c>
      <c r="C381" s="10" t="str">
        <f>"894019124019"</f>
        <v>894019124019</v>
      </c>
      <c r="D381" s="10">
        <v>71</v>
      </c>
      <c r="E381" s="10">
        <v>69</v>
      </c>
      <c r="F381" s="14">
        <f t="shared" si="21"/>
        <v>69.9</v>
      </c>
      <c r="G381" s="15">
        <v>73.4</v>
      </c>
      <c r="H381" s="16">
        <f t="shared" si="23"/>
        <v>71.47500000000001</v>
      </c>
      <c r="I381" s="20"/>
    </row>
    <row r="382" spans="1:9" ht="25.5" customHeight="1">
      <c r="A382" s="10">
        <v>380</v>
      </c>
      <c r="B382" s="11" t="s">
        <v>121</v>
      </c>
      <c r="C382" s="10" t="str">
        <f>"894003124003"</f>
        <v>894003124003</v>
      </c>
      <c r="D382" s="10">
        <v>61</v>
      </c>
      <c r="E382" s="10">
        <v>76</v>
      </c>
      <c r="F382" s="14">
        <f t="shared" si="21"/>
        <v>69.25</v>
      </c>
      <c r="G382" s="15">
        <v>72.2</v>
      </c>
      <c r="H382" s="16">
        <f t="shared" si="23"/>
        <v>70.57750000000001</v>
      </c>
      <c r="I382" s="20"/>
    </row>
    <row r="383" spans="1:9" ht="25.5" customHeight="1">
      <c r="A383" s="10">
        <v>381</v>
      </c>
      <c r="B383" s="11" t="s">
        <v>121</v>
      </c>
      <c r="C383" s="10" t="str">
        <f>"893821123821"</f>
        <v>893821123821</v>
      </c>
      <c r="D383" s="10">
        <v>74</v>
      </c>
      <c r="E383" s="10">
        <v>68</v>
      </c>
      <c r="F383" s="14">
        <f t="shared" si="21"/>
        <v>70.70000000000002</v>
      </c>
      <c r="G383" s="11" t="s">
        <v>12</v>
      </c>
      <c r="H383" s="16" t="s">
        <v>13</v>
      </c>
      <c r="I383" s="20"/>
    </row>
    <row r="384" spans="1:9" ht="25.5" customHeight="1">
      <c r="A384" s="10">
        <v>382</v>
      </c>
      <c r="B384" s="11" t="s">
        <v>122</v>
      </c>
      <c r="C384" s="10" t="str">
        <f>"890924230924"</f>
        <v>890924230924</v>
      </c>
      <c r="D384" s="10">
        <v>74</v>
      </c>
      <c r="E384" s="10">
        <v>95</v>
      </c>
      <c r="F384" s="14">
        <f t="shared" si="21"/>
        <v>85.55000000000001</v>
      </c>
      <c r="G384" s="15">
        <v>74.6</v>
      </c>
      <c r="H384" s="16">
        <f aca="true" t="shared" si="24" ref="H384:H402">F384*0.55+G384*0.45</f>
        <v>80.6225</v>
      </c>
      <c r="I384" s="20"/>
    </row>
    <row r="385" spans="1:9" ht="25.5" customHeight="1">
      <c r="A385" s="10">
        <v>383</v>
      </c>
      <c r="B385" s="11" t="s">
        <v>122</v>
      </c>
      <c r="C385" s="10" t="str">
        <f>"891013231013"</f>
        <v>891013231013</v>
      </c>
      <c r="D385" s="10">
        <v>81</v>
      </c>
      <c r="E385" s="10">
        <v>85</v>
      </c>
      <c r="F385" s="14">
        <f t="shared" si="21"/>
        <v>83.20000000000002</v>
      </c>
      <c r="G385" s="15">
        <v>75.1</v>
      </c>
      <c r="H385" s="16">
        <f t="shared" si="24"/>
        <v>79.555</v>
      </c>
      <c r="I385" s="20"/>
    </row>
    <row r="386" spans="1:9" ht="25.5" customHeight="1">
      <c r="A386" s="10">
        <v>384</v>
      </c>
      <c r="B386" s="11" t="s">
        <v>122</v>
      </c>
      <c r="C386" s="10" t="str">
        <f>"891008231008"</f>
        <v>891008231008</v>
      </c>
      <c r="D386" s="10">
        <v>80</v>
      </c>
      <c r="E386" s="10">
        <v>87</v>
      </c>
      <c r="F386" s="14">
        <f t="shared" si="21"/>
        <v>83.85</v>
      </c>
      <c r="G386" s="15">
        <v>74</v>
      </c>
      <c r="H386" s="16">
        <f t="shared" si="24"/>
        <v>79.4175</v>
      </c>
      <c r="I386" s="20"/>
    </row>
    <row r="387" spans="1:9" ht="25.5" customHeight="1">
      <c r="A387" s="10">
        <v>385</v>
      </c>
      <c r="B387" s="11" t="s">
        <v>123</v>
      </c>
      <c r="C387" s="10" t="str">
        <f>"891828231828"</f>
        <v>891828231828</v>
      </c>
      <c r="D387" s="10">
        <v>78</v>
      </c>
      <c r="E387" s="10">
        <v>76</v>
      </c>
      <c r="F387" s="14">
        <f aca="true" t="shared" si="25" ref="F387:F402">D387*0.45+E387*0.55</f>
        <v>76.9</v>
      </c>
      <c r="G387" s="15">
        <v>73.6</v>
      </c>
      <c r="H387" s="16">
        <f t="shared" si="24"/>
        <v>75.415</v>
      </c>
      <c r="I387" s="20"/>
    </row>
    <row r="388" spans="1:9" ht="25.5" customHeight="1">
      <c r="A388" s="10">
        <v>386</v>
      </c>
      <c r="B388" s="11" t="s">
        <v>123</v>
      </c>
      <c r="C388" s="10" t="str">
        <f>"891903231903"</f>
        <v>891903231903</v>
      </c>
      <c r="D388" s="10">
        <v>80</v>
      </c>
      <c r="E388" s="10">
        <v>64</v>
      </c>
      <c r="F388" s="14">
        <f t="shared" si="25"/>
        <v>71.2</v>
      </c>
      <c r="G388" s="15">
        <v>74.2</v>
      </c>
      <c r="H388" s="16">
        <f t="shared" si="24"/>
        <v>72.55000000000001</v>
      </c>
      <c r="I388" s="20"/>
    </row>
    <row r="389" spans="1:9" ht="25.5" customHeight="1">
      <c r="A389" s="10">
        <v>387</v>
      </c>
      <c r="B389" s="11" t="s">
        <v>124</v>
      </c>
      <c r="C389" s="10" t="str">
        <f>"891619231619"</f>
        <v>891619231619</v>
      </c>
      <c r="D389" s="10">
        <v>72</v>
      </c>
      <c r="E389" s="10">
        <v>59</v>
      </c>
      <c r="F389" s="14">
        <f t="shared" si="25"/>
        <v>64.85</v>
      </c>
      <c r="G389" s="15">
        <v>73.4</v>
      </c>
      <c r="H389" s="16">
        <f t="shared" si="24"/>
        <v>68.69749999999999</v>
      </c>
      <c r="I389" s="20"/>
    </row>
    <row r="390" spans="1:9" ht="25.5" customHeight="1">
      <c r="A390" s="10">
        <v>388</v>
      </c>
      <c r="B390" s="11" t="s">
        <v>124</v>
      </c>
      <c r="C390" s="10" t="str">
        <f>"891616231616"</f>
        <v>891616231616</v>
      </c>
      <c r="D390" s="10">
        <v>65</v>
      </c>
      <c r="E390" s="10">
        <v>52</v>
      </c>
      <c r="F390" s="14">
        <f t="shared" si="25"/>
        <v>57.85</v>
      </c>
      <c r="G390" s="15">
        <v>71.4</v>
      </c>
      <c r="H390" s="16">
        <f t="shared" si="24"/>
        <v>63.947500000000005</v>
      </c>
      <c r="I390" s="20"/>
    </row>
    <row r="391" spans="1:9" ht="25.5" customHeight="1">
      <c r="A391" s="10">
        <v>389</v>
      </c>
      <c r="B391" s="11" t="s">
        <v>125</v>
      </c>
      <c r="C391" s="10" t="str">
        <f>"894026124026"</f>
        <v>894026124026</v>
      </c>
      <c r="D391" s="10">
        <v>67</v>
      </c>
      <c r="E391" s="10">
        <v>71</v>
      </c>
      <c r="F391" s="14">
        <f t="shared" si="25"/>
        <v>69.2</v>
      </c>
      <c r="G391" s="15">
        <v>76</v>
      </c>
      <c r="H391" s="16">
        <f t="shared" si="24"/>
        <v>72.26</v>
      </c>
      <c r="I391" s="20"/>
    </row>
    <row r="392" spans="1:9" ht="25.5" customHeight="1">
      <c r="A392" s="10">
        <v>390</v>
      </c>
      <c r="B392" s="11" t="s">
        <v>125</v>
      </c>
      <c r="C392" s="10" t="str">
        <f>"894115124115"</f>
        <v>894115124115</v>
      </c>
      <c r="D392" s="10">
        <v>74</v>
      </c>
      <c r="E392" s="10">
        <v>63</v>
      </c>
      <c r="F392" s="14">
        <f t="shared" si="25"/>
        <v>67.95000000000002</v>
      </c>
      <c r="G392" s="15">
        <v>74.6</v>
      </c>
      <c r="H392" s="16">
        <f t="shared" si="24"/>
        <v>70.94250000000001</v>
      </c>
      <c r="I392" s="20"/>
    </row>
    <row r="393" spans="1:9" ht="25.5" customHeight="1">
      <c r="A393" s="10">
        <v>391</v>
      </c>
      <c r="B393" s="11" t="s">
        <v>125</v>
      </c>
      <c r="C393" s="10" t="str">
        <f>"894113124113"</f>
        <v>894113124113</v>
      </c>
      <c r="D393" s="10">
        <v>70</v>
      </c>
      <c r="E393" s="10">
        <v>61</v>
      </c>
      <c r="F393" s="14">
        <f t="shared" si="25"/>
        <v>65.05000000000001</v>
      </c>
      <c r="G393" s="15">
        <v>74.2</v>
      </c>
      <c r="H393" s="16">
        <f t="shared" si="24"/>
        <v>69.16750000000002</v>
      </c>
      <c r="I393" s="20"/>
    </row>
    <row r="394" spans="1:9" ht="25.5" customHeight="1">
      <c r="A394" s="10">
        <v>392</v>
      </c>
      <c r="B394" s="11" t="s">
        <v>126</v>
      </c>
      <c r="C394" s="10" t="str">
        <f>"894120124120"</f>
        <v>894120124120</v>
      </c>
      <c r="D394" s="10">
        <v>84</v>
      </c>
      <c r="E394" s="10">
        <v>64</v>
      </c>
      <c r="F394" s="14">
        <f t="shared" si="25"/>
        <v>73</v>
      </c>
      <c r="G394" s="15">
        <v>73.6</v>
      </c>
      <c r="H394" s="16">
        <f t="shared" si="24"/>
        <v>73.27000000000001</v>
      </c>
      <c r="I394" s="20"/>
    </row>
    <row r="395" spans="1:9" ht="25.5" customHeight="1">
      <c r="A395" s="10">
        <v>393</v>
      </c>
      <c r="B395" s="11" t="s">
        <v>126</v>
      </c>
      <c r="C395" s="10" t="str">
        <f>"894214124214"</f>
        <v>894214124214</v>
      </c>
      <c r="D395" s="10">
        <v>80</v>
      </c>
      <c r="E395" s="10">
        <v>61</v>
      </c>
      <c r="F395" s="14">
        <f t="shared" si="25"/>
        <v>69.55000000000001</v>
      </c>
      <c r="G395" s="15">
        <v>73.6</v>
      </c>
      <c r="H395" s="16">
        <f t="shared" si="24"/>
        <v>71.3725</v>
      </c>
      <c r="I395" s="20"/>
    </row>
    <row r="396" spans="1:9" ht="25.5" customHeight="1">
      <c r="A396" s="10">
        <v>394</v>
      </c>
      <c r="B396" s="11" t="s">
        <v>126</v>
      </c>
      <c r="C396" s="10" t="str">
        <f>"894203124203"</f>
        <v>894203124203</v>
      </c>
      <c r="D396" s="10">
        <v>72</v>
      </c>
      <c r="E396" s="10">
        <v>66</v>
      </c>
      <c r="F396" s="14">
        <f t="shared" si="25"/>
        <v>68.7</v>
      </c>
      <c r="G396" s="15">
        <v>71.6</v>
      </c>
      <c r="H396" s="16">
        <f t="shared" si="24"/>
        <v>70.005</v>
      </c>
      <c r="I396" s="20"/>
    </row>
    <row r="397" spans="1:9" ht="25.5" customHeight="1">
      <c r="A397" s="10">
        <v>395</v>
      </c>
      <c r="B397" s="11" t="s">
        <v>127</v>
      </c>
      <c r="C397" s="10" t="str">
        <f>"894319124319"</f>
        <v>894319124319</v>
      </c>
      <c r="D397" s="10">
        <v>77</v>
      </c>
      <c r="E397" s="10">
        <v>66</v>
      </c>
      <c r="F397" s="14">
        <f t="shared" si="25"/>
        <v>70.95</v>
      </c>
      <c r="G397" s="15">
        <v>75.8</v>
      </c>
      <c r="H397" s="16">
        <f t="shared" si="24"/>
        <v>73.13250000000001</v>
      </c>
      <c r="I397" s="20"/>
    </row>
    <row r="398" spans="1:9" ht="25.5" customHeight="1">
      <c r="A398" s="10">
        <v>396</v>
      </c>
      <c r="B398" s="11" t="s">
        <v>127</v>
      </c>
      <c r="C398" s="10" t="str">
        <f>"894330124330"</f>
        <v>894330124330</v>
      </c>
      <c r="D398" s="10">
        <v>74</v>
      </c>
      <c r="E398" s="10">
        <v>72</v>
      </c>
      <c r="F398" s="14">
        <f t="shared" si="25"/>
        <v>72.9</v>
      </c>
      <c r="G398" s="15">
        <v>73.4</v>
      </c>
      <c r="H398" s="16">
        <f t="shared" si="24"/>
        <v>73.125</v>
      </c>
      <c r="I398" s="20"/>
    </row>
    <row r="399" spans="1:9" ht="25.5" customHeight="1">
      <c r="A399" s="10">
        <v>397</v>
      </c>
      <c r="B399" s="11" t="s">
        <v>127</v>
      </c>
      <c r="C399" s="10" t="str">
        <f>"894412124412"</f>
        <v>894412124412</v>
      </c>
      <c r="D399" s="10">
        <v>82</v>
      </c>
      <c r="E399" s="10">
        <v>59</v>
      </c>
      <c r="F399" s="14">
        <f t="shared" si="25"/>
        <v>69.35</v>
      </c>
      <c r="G399" s="15">
        <v>71.6</v>
      </c>
      <c r="H399" s="16">
        <f t="shared" si="24"/>
        <v>70.3625</v>
      </c>
      <c r="I399" s="20"/>
    </row>
    <row r="400" spans="1:9" ht="25.5" customHeight="1">
      <c r="A400" s="10">
        <v>398</v>
      </c>
      <c r="B400" s="11" t="s">
        <v>128</v>
      </c>
      <c r="C400" s="10" t="str">
        <f>"894505124505"</f>
        <v>894505124505</v>
      </c>
      <c r="D400" s="10">
        <v>71</v>
      </c>
      <c r="E400" s="10">
        <v>74</v>
      </c>
      <c r="F400" s="14">
        <f t="shared" si="25"/>
        <v>72.65</v>
      </c>
      <c r="G400" s="15">
        <v>77.7</v>
      </c>
      <c r="H400" s="16">
        <f t="shared" si="24"/>
        <v>74.92250000000001</v>
      </c>
      <c r="I400" s="20"/>
    </row>
    <row r="401" spans="1:9" ht="25.5" customHeight="1">
      <c r="A401" s="10">
        <v>399</v>
      </c>
      <c r="B401" s="11" t="s">
        <v>128</v>
      </c>
      <c r="C401" s="10" t="str">
        <f>"894429124429"</f>
        <v>894429124429</v>
      </c>
      <c r="D401" s="10">
        <v>71</v>
      </c>
      <c r="E401" s="10">
        <v>68</v>
      </c>
      <c r="F401" s="14">
        <f t="shared" si="25"/>
        <v>69.35000000000001</v>
      </c>
      <c r="G401" s="15">
        <v>75.9</v>
      </c>
      <c r="H401" s="16">
        <f t="shared" si="24"/>
        <v>72.29750000000001</v>
      </c>
      <c r="I401" s="20"/>
    </row>
    <row r="402" spans="1:9" ht="25.5" customHeight="1">
      <c r="A402" s="10">
        <v>400</v>
      </c>
      <c r="B402" s="11" t="s">
        <v>128</v>
      </c>
      <c r="C402" s="10" t="str">
        <f>"894514124514"</f>
        <v>894514124514</v>
      </c>
      <c r="D402" s="10">
        <v>71</v>
      </c>
      <c r="E402" s="10">
        <v>73</v>
      </c>
      <c r="F402" s="14">
        <f t="shared" si="25"/>
        <v>72.10000000000001</v>
      </c>
      <c r="G402" s="15">
        <v>72.4</v>
      </c>
      <c r="H402" s="16">
        <f t="shared" si="24"/>
        <v>72.23500000000001</v>
      </c>
      <c r="I402" s="20"/>
    </row>
  </sheetData>
  <sheetProtection/>
  <mergeCells count="1">
    <mergeCell ref="A1:I1"/>
  </mergeCells>
  <printOptions/>
  <pageMargins left="0.7" right="0.7" top="0.75" bottom="0.75" header="0.3" footer="0.3"/>
  <pageSetup fitToHeight="0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啦啦啦啦，德玛西亚！</cp:lastModifiedBy>
  <cp:lastPrinted>2019-07-29T08:05:51Z</cp:lastPrinted>
  <dcterms:created xsi:type="dcterms:W3CDTF">2019-06-11T01:32:57Z</dcterms:created>
  <dcterms:modified xsi:type="dcterms:W3CDTF">2019-07-29T08:21:59Z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